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藤田和則\分野別ベストセラー\分野別ベストセラー2023年1月\アップ用\"/>
    </mc:Choice>
  </mc:AlternateContent>
  <xr:revisionPtr revIDLastSave="0" documentId="13_ncr:1_{D1ADDE9E-2E15-45BE-BAAB-921D4449038A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編集１" sheetId="1" state="hidden" r:id="rId1"/>
    <sheet name="編集２" sheetId="2" state="hidden" r:id="rId2"/>
    <sheet name="文庫ベスト2023年1月" sheetId="4" r:id="rId3"/>
    <sheet name="新書ベスト2023年1月" sheetId="3" r:id="rId4"/>
    <sheet name="コミックベスト2023年1月" sheetId="6" r:id="rId5"/>
  </sheets>
  <definedNames>
    <definedName name="_xlnm._FilterDatabase" localSheetId="0" hidden="1">編集１!$A$1:$RB$541</definedName>
    <definedName name="_xlnm._FilterDatabase" localSheetId="1" hidden="1">編集２!$A$8:$QY$586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86" i="2" l="1"/>
  <c r="B586" i="2"/>
  <c r="A586" i="2"/>
  <c r="G585" i="2"/>
  <c r="B585" i="2"/>
  <c r="A585" i="2"/>
  <c r="G584" i="2"/>
  <c r="B584" i="2"/>
  <c r="A584" i="2"/>
  <c r="G583" i="2"/>
  <c r="B583" i="2"/>
  <c r="A583" i="2"/>
  <c r="G582" i="2"/>
  <c r="B582" i="2"/>
  <c r="A582" i="2"/>
  <c r="G581" i="2"/>
  <c r="B581" i="2"/>
  <c r="A581" i="2"/>
  <c r="G580" i="2"/>
  <c r="B580" i="2"/>
  <c r="A580" i="2"/>
  <c r="G579" i="2"/>
  <c r="B579" i="2"/>
  <c r="A579" i="2"/>
  <c r="G578" i="2"/>
  <c r="B578" i="2"/>
  <c r="A578" i="2"/>
  <c r="G577" i="2"/>
  <c r="B577" i="2"/>
  <c r="A577" i="2"/>
  <c r="G576" i="2"/>
  <c r="B576" i="2"/>
  <c r="A576" i="2"/>
  <c r="G575" i="2"/>
  <c r="B575" i="2"/>
  <c r="A575" i="2"/>
  <c r="G574" i="2"/>
  <c r="B574" i="2"/>
  <c r="A574" i="2"/>
  <c r="G573" i="2"/>
  <c r="B573" i="2"/>
  <c r="A573" i="2"/>
  <c r="G572" i="2"/>
  <c r="B572" i="2"/>
  <c r="A572" i="2"/>
  <c r="G571" i="2"/>
  <c r="B571" i="2"/>
  <c r="A571" i="2"/>
  <c r="G570" i="2"/>
  <c r="B570" i="2"/>
  <c r="A570" i="2"/>
  <c r="G569" i="2"/>
  <c r="B569" i="2"/>
  <c r="A569" i="2"/>
  <c r="G568" i="2"/>
  <c r="B568" i="2"/>
  <c r="A568" i="2"/>
  <c r="G567" i="2"/>
  <c r="B567" i="2"/>
  <c r="A567" i="2"/>
  <c r="G566" i="2"/>
  <c r="B566" i="2"/>
  <c r="A566" i="2"/>
  <c r="G565" i="2"/>
  <c r="B565" i="2"/>
  <c r="A565" i="2"/>
  <c r="G564" i="2"/>
  <c r="B564" i="2"/>
  <c r="A564" i="2"/>
  <c r="G563" i="2"/>
  <c r="B563" i="2"/>
  <c r="A563" i="2"/>
  <c r="G562" i="2"/>
  <c r="B562" i="2"/>
  <c r="A562" i="2"/>
  <c r="G561" i="2"/>
  <c r="B561" i="2"/>
  <c r="A561" i="2"/>
  <c r="G560" i="2"/>
  <c r="B560" i="2"/>
  <c r="A560" i="2"/>
  <c r="G559" i="2"/>
  <c r="B559" i="2"/>
  <c r="A559" i="2"/>
  <c r="G558" i="2"/>
  <c r="B558" i="2"/>
  <c r="A558" i="2"/>
  <c r="G557" i="2"/>
  <c r="B557" i="2"/>
  <c r="A557" i="2"/>
  <c r="G556" i="2"/>
  <c r="B556" i="2"/>
  <c r="A556" i="2"/>
  <c r="G555" i="2"/>
  <c r="B555" i="2"/>
  <c r="A555" i="2"/>
  <c r="G554" i="2"/>
  <c r="B554" i="2"/>
  <c r="A554" i="2"/>
  <c r="G553" i="2"/>
  <c r="B553" i="2"/>
  <c r="A553" i="2"/>
  <c r="G552" i="2"/>
  <c r="B552" i="2"/>
  <c r="A552" i="2"/>
  <c r="G551" i="2"/>
  <c r="B551" i="2"/>
  <c r="A551" i="2"/>
  <c r="G550" i="2"/>
  <c r="B550" i="2"/>
  <c r="A550" i="2"/>
  <c r="G549" i="2"/>
  <c r="B549" i="2"/>
  <c r="A549" i="2"/>
  <c r="G548" i="2"/>
  <c r="B548" i="2"/>
  <c r="A548" i="2"/>
  <c r="G547" i="2"/>
  <c r="B547" i="2"/>
  <c r="A547" i="2"/>
  <c r="G546" i="2"/>
  <c r="B546" i="2"/>
  <c r="A546" i="2"/>
  <c r="G545" i="2"/>
  <c r="B545" i="2"/>
  <c r="A545" i="2"/>
  <c r="G544" i="2"/>
  <c r="B544" i="2"/>
  <c r="A544" i="2"/>
  <c r="G543" i="2"/>
  <c r="B543" i="2"/>
  <c r="A543" i="2"/>
  <c r="G542" i="2"/>
  <c r="B542" i="2"/>
  <c r="A542" i="2"/>
  <c r="G541" i="2"/>
  <c r="B541" i="2"/>
  <c r="A541" i="2"/>
  <c r="G540" i="2"/>
  <c r="B540" i="2"/>
  <c r="A540" i="2"/>
  <c r="G539" i="2"/>
  <c r="B539" i="2"/>
  <c r="A539" i="2"/>
  <c r="G538" i="2"/>
  <c r="B538" i="2"/>
  <c r="A538" i="2"/>
  <c r="G537" i="2"/>
  <c r="B537" i="2"/>
  <c r="A537" i="2"/>
  <c r="G536" i="2"/>
  <c r="B536" i="2"/>
  <c r="A536" i="2"/>
  <c r="G535" i="2"/>
  <c r="B535" i="2"/>
  <c r="A535" i="2"/>
  <c r="G534" i="2"/>
  <c r="B534" i="2"/>
  <c r="A534" i="2"/>
  <c r="G533" i="2"/>
  <c r="B533" i="2"/>
  <c r="A533" i="2"/>
  <c r="G532" i="2"/>
  <c r="B532" i="2"/>
  <c r="A532" i="2"/>
  <c r="G531" i="2"/>
  <c r="B531" i="2"/>
  <c r="A531" i="2"/>
  <c r="G530" i="2"/>
  <c r="B530" i="2"/>
  <c r="A530" i="2"/>
  <c r="G529" i="2"/>
  <c r="B529" i="2"/>
  <c r="A529" i="2"/>
  <c r="G528" i="2"/>
  <c r="B528" i="2"/>
  <c r="A528" i="2"/>
  <c r="G527" i="2"/>
  <c r="B527" i="2"/>
  <c r="A527" i="2"/>
  <c r="G526" i="2"/>
  <c r="B526" i="2"/>
  <c r="A526" i="2"/>
  <c r="G525" i="2"/>
  <c r="B525" i="2"/>
  <c r="A525" i="2"/>
  <c r="G524" i="2"/>
  <c r="B524" i="2"/>
  <c r="A524" i="2"/>
  <c r="G523" i="2"/>
  <c r="B523" i="2"/>
  <c r="A523" i="2"/>
  <c r="G522" i="2"/>
  <c r="B522" i="2"/>
  <c r="A522" i="2"/>
  <c r="G521" i="2"/>
  <c r="B521" i="2"/>
  <c r="A521" i="2"/>
  <c r="G520" i="2"/>
  <c r="B520" i="2"/>
  <c r="A520" i="2"/>
  <c r="G519" i="2"/>
  <c r="B519" i="2"/>
  <c r="A519" i="2"/>
  <c r="G518" i="2"/>
  <c r="B518" i="2"/>
  <c r="A518" i="2"/>
  <c r="G517" i="2"/>
  <c r="B517" i="2"/>
  <c r="A517" i="2"/>
  <c r="G516" i="2"/>
  <c r="B516" i="2"/>
  <c r="A516" i="2"/>
  <c r="G515" i="2"/>
  <c r="B515" i="2"/>
  <c r="A515" i="2"/>
  <c r="G514" i="2"/>
  <c r="B514" i="2"/>
  <c r="A514" i="2"/>
  <c r="G513" i="2"/>
  <c r="B513" i="2"/>
  <c r="A513" i="2"/>
  <c r="G512" i="2"/>
  <c r="B512" i="2"/>
  <c r="A512" i="2"/>
  <c r="G511" i="2"/>
  <c r="B511" i="2"/>
  <c r="A511" i="2"/>
  <c r="G510" i="2"/>
  <c r="B510" i="2"/>
  <c r="A510" i="2"/>
  <c r="G509" i="2"/>
  <c r="B509" i="2"/>
  <c r="A509" i="2"/>
  <c r="G508" i="2"/>
  <c r="B508" i="2"/>
  <c r="A508" i="2"/>
  <c r="G507" i="2"/>
  <c r="B507" i="2"/>
  <c r="A507" i="2"/>
  <c r="G506" i="2"/>
  <c r="B506" i="2"/>
  <c r="A506" i="2"/>
  <c r="G505" i="2"/>
  <c r="B505" i="2"/>
  <c r="A505" i="2"/>
  <c r="G504" i="2"/>
  <c r="B504" i="2"/>
  <c r="A504" i="2"/>
  <c r="G503" i="2"/>
  <c r="B503" i="2"/>
  <c r="A503" i="2"/>
  <c r="G502" i="2"/>
  <c r="B502" i="2"/>
  <c r="A502" i="2"/>
  <c r="G501" i="2"/>
  <c r="B501" i="2"/>
  <c r="A501" i="2"/>
  <c r="G500" i="2"/>
  <c r="B500" i="2"/>
  <c r="A500" i="2"/>
  <c r="G499" i="2"/>
  <c r="B499" i="2"/>
  <c r="A499" i="2"/>
  <c r="G498" i="2"/>
  <c r="B498" i="2"/>
  <c r="A498" i="2"/>
  <c r="G497" i="2"/>
  <c r="B497" i="2"/>
  <c r="A497" i="2"/>
  <c r="G496" i="2"/>
  <c r="B496" i="2"/>
  <c r="A496" i="2"/>
  <c r="G495" i="2"/>
  <c r="B495" i="2"/>
  <c r="A495" i="2"/>
  <c r="G494" i="2"/>
  <c r="B494" i="2"/>
  <c r="A494" i="2"/>
  <c r="G493" i="2"/>
  <c r="B493" i="2"/>
  <c r="A493" i="2"/>
  <c r="G492" i="2"/>
  <c r="B492" i="2"/>
  <c r="A492" i="2"/>
  <c r="G491" i="2"/>
  <c r="B491" i="2"/>
  <c r="A491" i="2"/>
  <c r="G490" i="2"/>
  <c r="B490" i="2"/>
  <c r="A490" i="2"/>
  <c r="G489" i="2"/>
  <c r="B489" i="2"/>
  <c r="A489" i="2"/>
  <c r="G488" i="2"/>
  <c r="B488" i="2"/>
  <c r="A488" i="2"/>
  <c r="G487" i="2"/>
  <c r="B487" i="2"/>
  <c r="A487" i="2"/>
  <c r="G486" i="2"/>
  <c r="B486" i="2"/>
  <c r="A486" i="2"/>
  <c r="G485" i="2"/>
  <c r="B485" i="2"/>
  <c r="A485" i="2"/>
  <c r="G484" i="2"/>
  <c r="B484" i="2"/>
  <c r="A484" i="2"/>
  <c r="G483" i="2"/>
  <c r="B483" i="2"/>
  <c r="A483" i="2"/>
  <c r="G482" i="2"/>
  <c r="B482" i="2"/>
  <c r="A482" i="2"/>
  <c r="G481" i="2"/>
  <c r="B481" i="2"/>
  <c r="A481" i="2"/>
  <c r="G480" i="2"/>
  <c r="B480" i="2"/>
  <c r="A480" i="2"/>
  <c r="G479" i="2"/>
  <c r="B479" i="2"/>
  <c r="A479" i="2"/>
  <c r="G478" i="2"/>
  <c r="B478" i="2"/>
  <c r="A478" i="2"/>
  <c r="G477" i="2"/>
  <c r="B477" i="2"/>
  <c r="A477" i="2"/>
  <c r="G476" i="2"/>
  <c r="B476" i="2"/>
  <c r="A476" i="2"/>
  <c r="G475" i="2"/>
  <c r="B475" i="2"/>
  <c r="A475" i="2"/>
  <c r="G474" i="2"/>
  <c r="B474" i="2"/>
  <c r="A474" i="2"/>
  <c r="G473" i="2"/>
  <c r="B473" i="2"/>
  <c r="A473" i="2"/>
  <c r="G472" i="2"/>
  <c r="B472" i="2"/>
  <c r="A472" i="2"/>
  <c r="G471" i="2"/>
  <c r="B471" i="2"/>
  <c r="A471" i="2"/>
  <c r="G470" i="2"/>
  <c r="B470" i="2"/>
  <c r="A470" i="2"/>
  <c r="G469" i="2"/>
  <c r="B469" i="2"/>
  <c r="A469" i="2"/>
  <c r="G468" i="2"/>
  <c r="B468" i="2"/>
  <c r="A468" i="2"/>
  <c r="G467" i="2"/>
  <c r="B467" i="2"/>
  <c r="A467" i="2"/>
  <c r="G466" i="2"/>
  <c r="B466" i="2"/>
  <c r="A466" i="2"/>
  <c r="G465" i="2"/>
  <c r="B465" i="2"/>
  <c r="A465" i="2"/>
  <c r="G464" i="2"/>
  <c r="B464" i="2"/>
  <c r="A464" i="2"/>
  <c r="G463" i="2"/>
  <c r="B463" i="2"/>
  <c r="A463" i="2"/>
  <c r="G462" i="2"/>
  <c r="B462" i="2"/>
  <c r="A462" i="2"/>
  <c r="G461" i="2"/>
  <c r="B461" i="2"/>
  <c r="A461" i="2"/>
  <c r="G460" i="2"/>
  <c r="B460" i="2"/>
  <c r="A460" i="2"/>
  <c r="G459" i="2"/>
  <c r="B459" i="2"/>
  <c r="A459" i="2"/>
  <c r="G458" i="2"/>
  <c r="B458" i="2"/>
  <c r="A458" i="2"/>
  <c r="G457" i="2"/>
  <c r="B457" i="2"/>
  <c r="A457" i="2"/>
  <c r="G456" i="2"/>
  <c r="B456" i="2"/>
  <c r="A456" i="2"/>
  <c r="G455" i="2"/>
  <c r="B455" i="2"/>
  <c r="A455" i="2"/>
  <c r="G454" i="2"/>
  <c r="B454" i="2"/>
  <c r="A454" i="2"/>
  <c r="G453" i="2"/>
  <c r="B453" i="2"/>
  <c r="A453" i="2"/>
  <c r="G452" i="2"/>
  <c r="B452" i="2"/>
  <c r="A452" i="2"/>
  <c r="G451" i="2"/>
  <c r="B451" i="2"/>
  <c r="A451" i="2"/>
  <c r="G450" i="2"/>
  <c r="B450" i="2"/>
  <c r="A450" i="2"/>
  <c r="G449" i="2"/>
  <c r="B449" i="2"/>
  <c r="A449" i="2"/>
  <c r="G448" i="2"/>
  <c r="B448" i="2"/>
  <c r="A448" i="2"/>
  <c r="G447" i="2"/>
  <c r="B447" i="2"/>
  <c r="A447" i="2"/>
  <c r="G446" i="2"/>
  <c r="B446" i="2"/>
  <c r="A446" i="2"/>
  <c r="G445" i="2"/>
  <c r="B445" i="2"/>
  <c r="A445" i="2"/>
  <c r="G444" i="2"/>
  <c r="B444" i="2"/>
  <c r="A444" i="2"/>
  <c r="G443" i="2"/>
  <c r="B443" i="2"/>
  <c r="A443" i="2"/>
  <c r="G442" i="2"/>
  <c r="B442" i="2"/>
  <c r="A442" i="2"/>
  <c r="G441" i="2"/>
  <c r="B441" i="2"/>
  <c r="A441" i="2"/>
  <c r="G440" i="2"/>
  <c r="B440" i="2"/>
  <c r="A440" i="2"/>
  <c r="G439" i="2"/>
  <c r="B439" i="2"/>
  <c r="A439" i="2"/>
  <c r="G438" i="2"/>
  <c r="B438" i="2"/>
  <c r="A438" i="2"/>
  <c r="G437" i="2"/>
  <c r="B437" i="2"/>
  <c r="A437" i="2"/>
  <c r="G436" i="2"/>
  <c r="B436" i="2"/>
  <c r="A436" i="2"/>
  <c r="G435" i="2"/>
  <c r="B435" i="2"/>
  <c r="A435" i="2"/>
  <c r="G434" i="2"/>
  <c r="B434" i="2"/>
  <c r="A434" i="2"/>
  <c r="G433" i="2"/>
  <c r="B433" i="2"/>
  <c r="A433" i="2"/>
  <c r="G432" i="2"/>
  <c r="B432" i="2"/>
  <c r="A432" i="2"/>
  <c r="G431" i="2"/>
  <c r="B431" i="2"/>
  <c r="A431" i="2"/>
  <c r="G430" i="2"/>
  <c r="B430" i="2"/>
  <c r="A430" i="2"/>
  <c r="G429" i="2"/>
  <c r="B429" i="2"/>
  <c r="A429" i="2"/>
  <c r="G428" i="2"/>
  <c r="B428" i="2"/>
  <c r="A428" i="2"/>
  <c r="G427" i="2"/>
  <c r="B427" i="2"/>
  <c r="A427" i="2"/>
  <c r="G426" i="2"/>
  <c r="B426" i="2"/>
  <c r="A426" i="2"/>
  <c r="G425" i="2"/>
  <c r="B425" i="2"/>
  <c r="A425" i="2"/>
  <c r="G424" i="2"/>
  <c r="B424" i="2"/>
  <c r="A424" i="2"/>
  <c r="G423" i="2"/>
  <c r="B423" i="2"/>
  <c r="A423" i="2"/>
  <c r="G422" i="2"/>
  <c r="B422" i="2"/>
  <c r="A422" i="2"/>
  <c r="G421" i="2"/>
  <c r="B421" i="2"/>
  <c r="A421" i="2"/>
  <c r="G420" i="2"/>
  <c r="B420" i="2"/>
  <c r="A420" i="2"/>
  <c r="G419" i="2"/>
  <c r="B419" i="2"/>
  <c r="A419" i="2"/>
  <c r="G418" i="2"/>
  <c r="B418" i="2"/>
  <c r="A418" i="2"/>
  <c r="G417" i="2"/>
  <c r="B417" i="2"/>
  <c r="A417" i="2"/>
  <c r="G416" i="2"/>
  <c r="B416" i="2"/>
  <c r="A416" i="2"/>
  <c r="G415" i="2"/>
  <c r="B415" i="2"/>
  <c r="A415" i="2"/>
  <c r="G414" i="2"/>
  <c r="B414" i="2"/>
  <c r="A414" i="2"/>
  <c r="G413" i="2"/>
  <c r="B413" i="2"/>
  <c r="A413" i="2"/>
  <c r="G412" i="2"/>
  <c r="B412" i="2"/>
  <c r="A412" i="2"/>
  <c r="G411" i="2"/>
  <c r="B411" i="2"/>
  <c r="A411" i="2"/>
  <c r="G410" i="2"/>
  <c r="B410" i="2"/>
  <c r="A410" i="2"/>
  <c r="G409" i="2"/>
  <c r="B409" i="2"/>
  <c r="A409" i="2"/>
  <c r="G408" i="2"/>
  <c r="B408" i="2"/>
  <c r="A408" i="2"/>
  <c r="G407" i="2"/>
  <c r="B407" i="2"/>
  <c r="A407" i="2"/>
  <c r="G406" i="2"/>
  <c r="B406" i="2"/>
  <c r="A406" i="2"/>
  <c r="G405" i="2"/>
  <c r="B405" i="2"/>
  <c r="A405" i="2"/>
  <c r="G404" i="2"/>
  <c r="B404" i="2"/>
  <c r="A404" i="2"/>
  <c r="G403" i="2"/>
  <c r="B403" i="2"/>
  <c r="A403" i="2"/>
  <c r="G402" i="2"/>
  <c r="B402" i="2"/>
  <c r="A402" i="2"/>
  <c r="G401" i="2"/>
  <c r="B401" i="2"/>
  <c r="A401" i="2"/>
  <c r="G400" i="2"/>
  <c r="B400" i="2"/>
  <c r="A400" i="2"/>
  <c r="G399" i="2"/>
  <c r="B399" i="2"/>
  <c r="A399" i="2"/>
  <c r="G398" i="2"/>
  <c r="B398" i="2"/>
  <c r="A398" i="2"/>
  <c r="G397" i="2"/>
  <c r="B397" i="2"/>
  <c r="A397" i="2"/>
  <c r="G396" i="2"/>
  <c r="B396" i="2"/>
  <c r="A396" i="2"/>
  <c r="G395" i="2"/>
  <c r="B395" i="2"/>
  <c r="A395" i="2"/>
  <c r="G394" i="2"/>
  <c r="B394" i="2"/>
  <c r="A394" i="2"/>
  <c r="G393" i="2"/>
  <c r="B393" i="2"/>
  <c r="A393" i="2"/>
  <c r="G392" i="2"/>
  <c r="B392" i="2"/>
  <c r="A392" i="2"/>
  <c r="G391" i="2"/>
  <c r="B391" i="2"/>
  <c r="A391" i="2"/>
  <c r="G390" i="2"/>
  <c r="B390" i="2"/>
  <c r="A390" i="2"/>
  <c r="G389" i="2"/>
  <c r="B389" i="2"/>
  <c r="A389" i="2"/>
  <c r="G388" i="2"/>
  <c r="B388" i="2"/>
  <c r="A388" i="2"/>
  <c r="G387" i="2"/>
  <c r="B387" i="2"/>
  <c r="A387" i="2"/>
  <c r="G386" i="2"/>
  <c r="B386" i="2"/>
  <c r="A386" i="2"/>
  <c r="G385" i="2"/>
  <c r="B385" i="2"/>
  <c r="A385" i="2"/>
  <c r="G384" i="2"/>
  <c r="B384" i="2"/>
  <c r="A384" i="2"/>
  <c r="G383" i="2"/>
  <c r="B383" i="2"/>
  <c r="A383" i="2"/>
  <c r="G382" i="2"/>
  <c r="B382" i="2"/>
  <c r="A382" i="2"/>
  <c r="G381" i="2"/>
  <c r="B381" i="2"/>
  <c r="A381" i="2"/>
  <c r="G380" i="2"/>
  <c r="B380" i="2"/>
  <c r="A380" i="2"/>
  <c r="G379" i="2"/>
  <c r="B379" i="2"/>
  <c r="A379" i="2"/>
  <c r="G378" i="2"/>
  <c r="B378" i="2"/>
  <c r="A378" i="2"/>
  <c r="G377" i="2"/>
  <c r="B377" i="2"/>
  <c r="A377" i="2"/>
  <c r="G376" i="2"/>
  <c r="B376" i="2"/>
  <c r="A376" i="2"/>
  <c r="G375" i="2"/>
  <c r="B375" i="2"/>
  <c r="A375" i="2"/>
  <c r="G374" i="2"/>
  <c r="B374" i="2"/>
  <c r="A374" i="2"/>
  <c r="G373" i="2"/>
  <c r="B373" i="2"/>
  <c r="A373" i="2"/>
  <c r="G372" i="2"/>
  <c r="B372" i="2"/>
  <c r="A372" i="2"/>
  <c r="G371" i="2"/>
  <c r="B371" i="2"/>
  <c r="A371" i="2"/>
  <c r="G370" i="2"/>
  <c r="B370" i="2"/>
  <c r="A370" i="2"/>
  <c r="G369" i="2"/>
  <c r="B369" i="2"/>
  <c r="A369" i="2"/>
  <c r="G368" i="2"/>
  <c r="B368" i="2"/>
  <c r="A368" i="2"/>
  <c r="G367" i="2"/>
  <c r="B367" i="2"/>
  <c r="A367" i="2"/>
  <c r="G366" i="2"/>
  <c r="B366" i="2"/>
  <c r="A366" i="2"/>
  <c r="G365" i="2"/>
  <c r="B365" i="2"/>
  <c r="A365" i="2"/>
  <c r="G364" i="2"/>
  <c r="B364" i="2"/>
  <c r="A364" i="2"/>
  <c r="G363" i="2"/>
  <c r="B363" i="2"/>
  <c r="A363" i="2"/>
  <c r="G362" i="2"/>
  <c r="B362" i="2"/>
  <c r="A362" i="2"/>
  <c r="G361" i="2"/>
  <c r="B361" i="2"/>
  <c r="A361" i="2"/>
  <c r="G360" i="2"/>
  <c r="B360" i="2"/>
  <c r="A360" i="2"/>
  <c r="G359" i="2"/>
  <c r="B359" i="2"/>
  <c r="A359" i="2"/>
  <c r="G358" i="2"/>
  <c r="B358" i="2"/>
  <c r="A358" i="2"/>
  <c r="G357" i="2"/>
  <c r="B357" i="2"/>
  <c r="A357" i="2"/>
  <c r="G356" i="2"/>
  <c r="B356" i="2"/>
  <c r="A356" i="2"/>
  <c r="G355" i="2"/>
  <c r="B355" i="2"/>
  <c r="A355" i="2"/>
  <c r="G354" i="2"/>
  <c r="B354" i="2"/>
  <c r="A354" i="2"/>
  <c r="G353" i="2"/>
  <c r="B353" i="2"/>
  <c r="A353" i="2"/>
  <c r="G352" i="2"/>
  <c r="B352" i="2"/>
  <c r="A352" i="2"/>
  <c r="G351" i="2"/>
  <c r="B351" i="2"/>
  <c r="A351" i="2"/>
  <c r="G350" i="2"/>
  <c r="B350" i="2"/>
  <c r="A350" i="2"/>
  <c r="G349" i="2"/>
  <c r="B349" i="2"/>
  <c r="A349" i="2"/>
  <c r="G348" i="2"/>
  <c r="B348" i="2"/>
  <c r="A348" i="2"/>
  <c r="G347" i="2"/>
  <c r="B347" i="2"/>
  <c r="A347" i="2"/>
  <c r="G346" i="2"/>
  <c r="B346" i="2"/>
  <c r="A346" i="2"/>
  <c r="G345" i="2"/>
  <c r="B345" i="2"/>
  <c r="A345" i="2"/>
  <c r="G344" i="2"/>
  <c r="B344" i="2"/>
  <c r="A344" i="2"/>
  <c r="G343" i="2"/>
  <c r="B343" i="2"/>
  <c r="A343" i="2"/>
  <c r="G342" i="2"/>
  <c r="B342" i="2"/>
  <c r="A342" i="2"/>
  <c r="G341" i="2"/>
  <c r="B341" i="2"/>
  <c r="A341" i="2"/>
  <c r="G340" i="2"/>
  <c r="B340" i="2"/>
  <c r="A340" i="2"/>
  <c r="G339" i="2"/>
  <c r="B339" i="2"/>
  <c r="A339" i="2"/>
  <c r="G338" i="2"/>
  <c r="B338" i="2"/>
  <c r="A338" i="2"/>
  <c r="G337" i="2"/>
  <c r="B337" i="2"/>
  <c r="A337" i="2"/>
  <c r="G336" i="2"/>
  <c r="B336" i="2"/>
  <c r="A336" i="2"/>
  <c r="G335" i="2"/>
  <c r="B335" i="2"/>
  <c r="A335" i="2"/>
  <c r="G334" i="2"/>
  <c r="B334" i="2"/>
  <c r="A334" i="2"/>
  <c r="G333" i="2"/>
  <c r="B333" i="2"/>
  <c r="A333" i="2"/>
  <c r="G332" i="2"/>
  <c r="B332" i="2"/>
  <c r="A332" i="2"/>
  <c r="G331" i="2"/>
  <c r="B331" i="2"/>
  <c r="A331" i="2"/>
  <c r="G330" i="2"/>
  <c r="B330" i="2"/>
  <c r="A330" i="2"/>
  <c r="G329" i="2"/>
  <c r="B329" i="2"/>
  <c r="A329" i="2"/>
  <c r="G328" i="2"/>
  <c r="B328" i="2"/>
  <c r="A328" i="2"/>
  <c r="G327" i="2"/>
  <c r="B327" i="2"/>
  <c r="A327" i="2"/>
  <c r="G326" i="2"/>
  <c r="B326" i="2"/>
  <c r="A326" i="2"/>
  <c r="G325" i="2"/>
  <c r="B325" i="2"/>
  <c r="A325" i="2"/>
  <c r="G324" i="2"/>
  <c r="B324" i="2"/>
  <c r="A324" i="2"/>
  <c r="G323" i="2"/>
  <c r="B323" i="2"/>
  <c r="A323" i="2"/>
  <c r="G322" i="2"/>
  <c r="B322" i="2"/>
  <c r="A322" i="2"/>
  <c r="G321" i="2"/>
  <c r="B321" i="2"/>
  <c r="A321" i="2"/>
  <c r="G320" i="2"/>
  <c r="B320" i="2"/>
  <c r="A320" i="2"/>
  <c r="G319" i="2"/>
  <c r="B319" i="2"/>
  <c r="A319" i="2"/>
  <c r="G318" i="2"/>
  <c r="B318" i="2"/>
  <c r="A318" i="2"/>
  <c r="G317" i="2"/>
  <c r="B317" i="2"/>
  <c r="A317" i="2"/>
  <c r="G316" i="2"/>
  <c r="B316" i="2"/>
  <c r="A316" i="2"/>
  <c r="G315" i="2"/>
  <c r="B315" i="2"/>
  <c r="A315" i="2"/>
  <c r="G314" i="2"/>
  <c r="B314" i="2"/>
  <c r="A314" i="2"/>
  <c r="G313" i="2"/>
  <c r="B313" i="2"/>
  <c r="A313" i="2"/>
  <c r="G312" i="2"/>
  <c r="B312" i="2"/>
  <c r="A312" i="2"/>
  <c r="G311" i="2"/>
  <c r="B311" i="2"/>
  <c r="A311" i="2"/>
  <c r="G310" i="2"/>
  <c r="B310" i="2"/>
  <c r="A310" i="2"/>
  <c r="G309" i="2"/>
  <c r="B309" i="2"/>
  <c r="A309" i="2"/>
  <c r="G308" i="2"/>
  <c r="B308" i="2"/>
  <c r="A308" i="2"/>
  <c r="G307" i="2"/>
  <c r="B307" i="2"/>
  <c r="A307" i="2"/>
  <c r="G306" i="2"/>
  <c r="B306" i="2"/>
  <c r="A306" i="2"/>
  <c r="G305" i="2"/>
  <c r="B305" i="2"/>
  <c r="A305" i="2"/>
  <c r="G304" i="2"/>
  <c r="B304" i="2"/>
  <c r="A304" i="2"/>
  <c r="G303" i="2"/>
  <c r="B303" i="2"/>
  <c r="A303" i="2"/>
  <c r="G302" i="2"/>
  <c r="B302" i="2"/>
  <c r="A302" i="2"/>
  <c r="G301" i="2"/>
  <c r="B301" i="2"/>
  <c r="A301" i="2"/>
  <c r="G300" i="2"/>
  <c r="B300" i="2"/>
  <c r="A300" i="2"/>
  <c r="G299" i="2"/>
  <c r="B299" i="2"/>
  <c r="A299" i="2"/>
  <c r="G298" i="2"/>
  <c r="B298" i="2"/>
  <c r="A298" i="2"/>
  <c r="G297" i="2"/>
  <c r="B297" i="2"/>
  <c r="A297" i="2"/>
  <c r="G296" i="2"/>
  <c r="B296" i="2"/>
  <c r="A296" i="2"/>
  <c r="G295" i="2"/>
  <c r="B295" i="2"/>
  <c r="A295" i="2"/>
  <c r="G294" i="2"/>
  <c r="B294" i="2"/>
  <c r="A294" i="2"/>
  <c r="G293" i="2"/>
  <c r="B293" i="2"/>
  <c r="A293" i="2"/>
  <c r="G292" i="2"/>
  <c r="B292" i="2"/>
  <c r="A292" i="2"/>
  <c r="G291" i="2"/>
  <c r="B291" i="2"/>
  <c r="A291" i="2"/>
  <c r="G290" i="2"/>
  <c r="B290" i="2"/>
  <c r="A290" i="2"/>
  <c r="G289" i="2"/>
  <c r="B289" i="2"/>
  <c r="A289" i="2"/>
  <c r="G288" i="2"/>
  <c r="B288" i="2"/>
  <c r="A288" i="2"/>
  <c r="G287" i="2"/>
  <c r="B287" i="2"/>
  <c r="A287" i="2"/>
  <c r="G286" i="2"/>
  <c r="B286" i="2"/>
  <c r="A286" i="2"/>
  <c r="G285" i="2"/>
  <c r="B285" i="2"/>
  <c r="A285" i="2"/>
  <c r="G284" i="2"/>
  <c r="B284" i="2"/>
  <c r="A284" i="2"/>
  <c r="G283" i="2"/>
  <c r="B283" i="2"/>
  <c r="A283" i="2"/>
  <c r="G282" i="2"/>
  <c r="B282" i="2"/>
  <c r="A282" i="2"/>
  <c r="G281" i="2"/>
  <c r="B281" i="2"/>
  <c r="A281" i="2"/>
  <c r="G280" i="2"/>
  <c r="B280" i="2"/>
  <c r="A280" i="2"/>
  <c r="G279" i="2"/>
  <c r="B279" i="2"/>
  <c r="A279" i="2"/>
  <c r="G278" i="2"/>
  <c r="B278" i="2"/>
  <c r="A278" i="2"/>
  <c r="G277" i="2"/>
  <c r="B277" i="2"/>
  <c r="A277" i="2"/>
  <c r="G276" i="2"/>
  <c r="B276" i="2"/>
  <c r="A276" i="2"/>
  <c r="G275" i="2"/>
  <c r="B275" i="2"/>
  <c r="A275" i="2"/>
  <c r="G274" i="2"/>
  <c r="B274" i="2"/>
  <c r="A274" i="2"/>
  <c r="G273" i="2"/>
  <c r="B273" i="2"/>
  <c r="A273" i="2"/>
  <c r="G272" i="2"/>
  <c r="B272" i="2"/>
  <c r="A272" i="2"/>
  <c r="G271" i="2"/>
  <c r="B271" i="2"/>
  <c r="A271" i="2"/>
  <c r="G270" i="2"/>
  <c r="B270" i="2"/>
  <c r="A270" i="2"/>
  <c r="G269" i="2"/>
  <c r="B269" i="2"/>
  <c r="A269" i="2"/>
  <c r="G268" i="2"/>
  <c r="B268" i="2"/>
  <c r="A268" i="2"/>
  <c r="G267" i="2"/>
  <c r="B267" i="2"/>
  <c r="A267" i="2"/>
  <c r="G266" i="2"/>
  <c r="B266" i="2"/>
  <c r="A266" i="2"/>
  <c r="G265" i="2"/>
  <c r="B265" i="2"/>
  <c r="A265" i="2"/>
  <c r="G264" i="2"/>
  <c r="B264" i="2"/>
  <c r="A264" i="2"/>
  <c r="G263" i="2"/>
  <c r="B263" i="2"/>
  <c r="A263" i="2"/>
  <c r="G262" i="2"/>
  <c r="B262" i="2"/>
  <c r="A262" i="2"/>
  <c r="G261" i="2"/>
  <c r="B261" i="2"/>
  <c r="A261" i="2"/>
  <c r="G260" i="2"/>
  <c r="B260" i="2"/>
  <c r="A260" i="2"/>
  <c r="G259" i="2"/>
  <c r="B259" i="2"/>
  <c r="A259" i="2"/>
  <c r="G258" i="2"/>
  <c r="B258" i="2"/>
  <c r="A258" i="2"/>
  <c r="G257" i="2"/>
  <c r="B257" i="2"/>
  <c r="A257" i="2"/>
  <c r="G256" i="2"/>
  <c r="B256" i="2"/>
  <c r="A256" i="2"/>
  <c r="G255" i="2"/>
  <c r="B255" i="2"/>
  <c r="A255" i="2"/>
  <c r="G254" i="2"/>
  <c r="B254" i="2"/>
  <c r="A254" i="2"/>
  <c r="G253" i="2"/>
  <c r="B253" i="2"/>
  <c r="A253" i="2"/>
  <c r="G252" i="2"/>
  <c r="B252" i="2"/>
  <c r="A252" i="2"/>
  <c r="G251" i="2"/>
  <c r="B251" i="2"/>
  <c r="A251" i="2"/>
  <c r="G250" i="2"/>
  <c r="B250" i="2"/>
  <c r="A250" i="2"/>
  <c r="G249" i="2"/>
  <c r="B249" i="2"/>
  <c r="A249" i="2"/>
  <c r="G248" i="2"/>
  <c r="B248" i="2"/>
  <c r="A248" i="2"/>
  <c r="G247" i="2"/>
  <c r="B247" i="2"/>
  <c r="A247" i="2"/>
  <c r="G246" i="2"/>
  <c r="B246" i="2"/>
  <c r="A246" i="2"/>
  <c r="G245" i="2"/>
  <c r="B245" i="2"/>
  <c r="A245" i="2"/>
  <c r="G244" i="2"/>
  <c r="B244" i="2"/>
  <c r="A244" i="2"/>
  <c r="G243" i="2"/>
  <c r="B243" i="2"/>
  <c r="A243" i="2"/>
  <c r="G242" i="2"/>
  <c r="B242" i="2"/>
  <c r="A242" i="2"/>
  <c r="G241" i="2"/>
  <c r="B241" i="2"/>
  <c r="A241" i="2"/>
  <c r="G240" i="2"/>
  <c r="B240" i="2"/>
  <c r="A240" i="2"/>
  <c r="G239" i="2"/>
  <c r="B239" i="2"/>
  <c r="A239" i="2"/>
  <c r="G238" i="2"/>
  <c r="B238" i="2"/>
  <c r="A238" i="2"/>
  <c r="G237" i="2"/>
  <c r="B237" i="2"/>
  <c r="A237" i="2"/>
  <c r="G236" i="2"/>
  <c r="B236" i="2"/>
  <c r="A236" i="2"/>
  <c r="G235" i="2"/>
  <c r="B235" i="2"/>
  <c r="A235" i="2"/>
  <c r="G234" i="2"/>
  <c r="B234" i="2"/>
  <c r="A234" i="2"/>
  <c r="G233" i="2"/>
  <c r="B233" i="2"/>
  <c r="A233" i="2"/>
  <c r="G232" i="2"/>
  <c r="B232" i="2"/>
  <c r="A232" i="2"/>
  <c r="G231" i="2"/>
  <c r="B231" i="2"/>
  <c r="A231" i="2"/>
  <c r="G230" i="2"/>
  <c r="B230" i="2"/>
  <c r="A230" i="2"/>
  <c r="G229" i="2"/>
  <c r="B229" i="2"/>
  <c r="A229" i="2"/>
  <c r="G228" i="2"/>
  <c r="B228" i="2"/>
  <c r="A228" i="2"/>
  <c r="G227" i="2"/>
  <c r="B227" i="2"/>
  <c r="A227" i="2"/>
  <c r="G226" i="2"/>
  <c r="B226" i="2"/>
  <c r="A226" i="2"/>
  <c r="G225" i="2"/>
  <c r="B225" i="2"/>
  <c r="A225" i="2"/>
  <c r="G224" i="2"/>
  <c r="B224" i="2"/>
  <c r="A224" i="2"/>
  <c r="G223" i="2"/>
  <c r="B223" i="2"/>
  <c r="A223" i="2"/>
  <c r="G222" i="2"/>
  <c r="B222" i="2"/>
  <c r="A222" i="2"/>
  <c r="G221" i="2"/>
  <c r="B221" i="2"/>
  <c r="A221" i="2"/>
  <c r="G220" i="2"/>
  <c r="B220" i="2"/>
  <c r="A220" i="2"/>
  <c r="G219" i="2"/>
  <c r="B219" i="2"/>
  <c r="A219" i="2"/>
  <c r="G218" i="2"/>
  <c r="B218" i="2"/>
  <c r="A218" i="2"/>
  <c r="G217" i="2"/>
  <c r="B217" i="2"/>
  <c r="A217" i="2"/>
  <c r="G216" i="2"/>
  <c r="B216" i="2"/>
  <c r="A216" i="2"/>
  <c r="G215" i="2"/>
  <c r="B215" i="2"/>
  <c r="A215" i="2"/>
  <c r="G214" i="2"/>
  <c r="B214" i="2"/>
  <c r="A214" i="2"/>
  <c r="G213" i="2"/>
  <c r="B213" i="2"/>
  <c r="A213" i="2"/>
  <c r="G212" i="2"/>
  <c r="B212" i="2"/>
  <c r="A212" i="2"/>
  <c r="G211" i="2"/>
  <c r="B211" i="2"/>
  <c r="A211" i="2"/>
  <c r="G210" i="2"/>
  <c r="B210" i="2"/>
  <c r="A210" i="2"/>
  <c r="G209" i="2"/>
  <c r="B209" i="2"/>
  <c r="A209" i="2"/>
  <c r="G208" i="2"/>
  <c r="B208" i="2"/>
  <c r="A208" i="2"/>
  <c r="G207" i="2"/>
  <c r="B207" i="2"/>
  <c r="A207" i="2"/>
  <c r="G206" i="2"/>
  <c r="B206" i="2"/>
  <c r="A206" i="2"/>
  <c r="G205" i="2"/>
  <c r="B205" i="2"/>
  <c r="A205" i="2"/>
  <c r="G204" i="2"/>
  <c r="B204" i="2"/>
  <c r="A204" i="2"/>
  <c r="G203" i="2"/>
  <c r="B203" i="2"/>
  <c r="A203" i="2"/>
  <c r="G202" i="2"/>
  <c r="B202" i="2"/>
  <c r="A202" i="2"/>
  <c r="G201" i="2"/>
  <c r="B201" i="2"/>
  <c r="A201" i="2"/>
  <c r="G200" i="2"/>
  <c r="B200" i="2"/>
  <c r="A200" i="2"/>
  <c r="G199" i="2"/>
  <c r="B199" i="2"/>
  <c r="A199" i="2"/>
  <c r="G198" i="2"/>
  <c r="B198" i="2"/>
  <c r="A198" i="2"/>
  <c r="G197" i="2"/>
  <c r="B197" i="2"/>
  <c r="A197" i="2"/>
  <c r="G196" i="2"/>
  <c r="B196" i="2"/>
  <c r="A196" i="2"/>
  <c r="G195" i="2"/>
  <c r="B195" i="2"/>
  <c r="A195" i="2"/>
  <c r="G194" i="2"/>
  <c r="B194" i="2"/>
  <c r="A194" i="2"/>
  <c r="G193" i="2"/>
  <c r="B193" i="2"/>
  <c r="A193" i="2"/>
  <c r="G192" i="2"/>
  <c r="B192" i="2"/>
  <c r="A192" i="2"/>
  <c r="G191" i="2"/>
  <c r="B191" i="2"/>
  <c r="A191" i="2"/>
  <c r="G190" i="2"/>
  <c r="B190" i="2"/>
  <c r="A190" i="2"/>
  <c r="G189" i="2"/>
  <c r="B189" i="2"/>
  <c r="A189" i="2"/>
  <c r="G188" i="2"/>
  <c r="B188" i="2"/>
  <c r="A188" i="2"/>
  <c r="G187" i="2"/>
  <c r="B187" i="2"/>
  <c r="A187" i="2"/>
  <c r="G186" i="2"/>
  <c r="B186" i="2"/>
  <c r="A186" i="2"/>
  <c r="G185" i="2"/>
  <c r="B185" i="2"/>
  <c r="A185" i="2"/>
  <c r="G184" i="2"/>
  <c r="B184" i="2"/>
  <c r="A184" i="2"/>
  <c r="G183" i="2"/>
  <c r="B183" i="2"/>
  <c r="A183" i="2"/>
  <c r="G182" i="2"/>
  <c r="B182" i="2"/>
  <c r="A182" i="2"/>
  <c r="G181" i="2"/>
  <c r="B181" i="2"/>
  <c r="A181" i="2"/>
  <c r="G180" i="2"/>
  <c r="B180" i="2"/>
  <c r="A180" i="2"/>
  <c r="G179" i="2"/>
  <c r="B179" i="2"/>
  <c r="A179" i="2"/>
  <c r="G178" i="2"/>
  <c r="B178" i="2"/>
  <c r="A178" i="2"/>
  <c r="G177" i="2"/>
  <c r="B177" i="2"/>
  <c r="A177" i="2"/>
  <c r="G176" i="2"/>
  <c r="B176" i="2"/>
  <c r="A176" i="2"/>
  <c r="G175" i="2"/>
  <c r="B175" i="2"/>
  <c r="A175" i="2"/>
  <c r="G174" i="2"/>
  <c r="B174" i="2"/>
  <c r="A174" i="2"/>
  <c r="G173" i="2"/>
  <c r="B173" i="2"/>
  <c r="A173" i="2"/>
  <c r="G172" i="2"/>
  <c r="B172" i="2"/>
  <c r="A172" i="2"/>
  <c r="G171" i="2"/>
  <c r="B171" i="2"/>
  <c r="A171" i="2"/>
  <c r="G170" i="2"/>
  <c r="B170" i="2"/>
  <c r="A170" i="2"/>
  <c r="G169" i="2"/>
  <c r="B169" i="2"/>
  <c r="A169" i="2"/>
  <c r="G168" i="2"/>
  <c r="B168" i="2"/>
  <c r="A168" i="2"/>
  <c r="G167" i="2"/>
  <c r="B167" i="2"/>
  <c r="A167" i="2"/>
  <c r="G166" i="2"/>
  <c r="B166" i="2"/>
  <c r="A166" i="2"/>
  <c r="G165" i="2"/>
  <c r="B165" i="2"/>
  <c r="A165" i="2"/>
  <c r="G164" i="2"/>
  <c r="B164" i="2"/>
  <c r="A164" i="2"/>
  <c r="G163" i="2"/>
  <c r="B163" i="2"/>
  <c r="A163" i="2"/>
  <c r="G162" i="2"/>
  <c r="B162" i="2"/>
  <c r="A162" i="2"/>
  <c r="G161" i="2"/>
  <c r="B161" i="2"/>
  <c r="A161" i="2"/>
  <c r="G160" i="2"/>
  <c r="B160" i="2"/>
  <c r="A160" i="2"/>
  <c r="G159" i="2"/>
  <c r="B159" i="2"/>
  <c r="A159" i="2"/>
  <c r="G158" i="2"/>
  <c r="B158" i="2"/>
  <c r="A158" i="2"/>
  <c r="G157" i="2"/>
  <c r="B157" i="2"/>
  <c r="A157" i="2"/>
  <c r="G156" i="2"/>
  <c r="B156" i="2"/>
  <c r="A156" i="2"/>
  <c r="G155" i="2"/>
  <c r="B155" i="2"/>
  <c r="A155" i="2"/>
  <c r="G154" i="2"/>
  <c r="B154" i="2"/>
  <c r="A154" i="2"/>
  <c r="G153" i="2"/>
  <c r="B153" i="2"/>
  <c r="A153" i="2"/>
  <c r="G152" i="2"/>
  <c r="B152" i="2"/>
  <c r="A152" i="2"/>
  <c r="G151" i="2"/>
  <c r="B151" i="2"/>
  <c r="A151" i="2"/>
  <c r="G150" i="2"/>
  <c r="B150" i="2"/>
  <c r="A150" i="2"/>
  <c r="G149" i="2"/>
  <c r="B149" i="2"/>
  <c r="A149" i="2"/>
  <c r="G148" i="2"/>
  <c r="B148" i="2"/>
  <c r="A148" i="2"/>
  <c r="G147" i="2"/>
  <c r="B147" i="2"/>
  <c r="A147" i="2"/>
  <c r="G146" i="2"/>
  <c r="B146" i="2"/>
  <c r="A146" i="2"/>
  <c r="G145" i="2"/>
  <c r="B145" i="2"/>
  <c r="A145" i="2"/>
  <c r="G144" i="2"/>
  <c r="B144" i="2"/>
  <c r="A144" i="2"/>
  <c r="G143" i="2"/>
  <c r="B143" i="2"/>
  <c r="A143" i="2"/>
  <c r="G142" i="2"/>
  <c r="B142" i="2"/>
  <c r="A142" i="2"/>
  <c r="G141" i="2"/>
  <c r="B141" i="2"/>
  <c r="A141" i="2"/>
  <c r="G140" i="2"/>
  <c r="B140" i="2"/>
  <c r="A140" i="2"/>
  <c r="G139" i="2"/>
  <c r="B139" i="2"/>
  <c r="A139" i="2"/>
  <c r="G138" i="2"/>
  <c r="B138" i="2"/>
  <c r="A138" i="2"/>
  <c r="G137" i="2"/>
  <c r="B137" i="2"/>
  <c r="A137" i="2"/>
  <c r="G136" i="2"/>
  <c r="B136" i="2"/>
  <c r="A136" i="2"/>
  <c r="G135" i="2"/>
  <c r="B135" i="2"/>
  <c r="A135" i="2"/>
  <c r="G134" i="2"/>
  <c r="B134" i="2"/>
  <c r="A134" i="2"/>
  <c r="G133" i="2"/>
  <c r="B133" i="2"/>
  <c r="A133" i="2"/>
  <c r="G132" i="2"/>
  <c r="B132" i="2"/>
  <c r="A132" i="2"/>
  <c r="G131" i="2"/>
  <c r="B131" i="2"/>
  <c r="A131" i="2"/>
  <c r="G130" i="2"/>
  <c r="B130" i="2"/>
  <c r="A130" i="2"/>
  <c r="G129" i="2"/>
  <c r="B129" i="2"/>
  <c r="A129" i="2"/>
  <c r="G128" i="2"/>
  <c r="B128" i="2"/>
  <c r="A128" i="2"/>
  <c r="G127" i="2"/>
  <c r="B127" i="2"/>
  <c r="A127" i="2"/>
  <c r="G126" i="2"/>
  <c r="B126" i="2"/>
  <c r="A126" i="2"/>
  <c r="G125" i="2"/>
  <c r="B125" i="2"/>
  <c r="A125" i="2"/>
  <c r="G124" i="2"/>
  <c r="B124" i="2"/>
  <c r="A124" i="2"/>
  <c r="G123" i="2"/>
  <c r="B123" i="2"/>
  <c r="A123" i="2"/>
  <c r="G122" i="2"/>
  <c r="B122" i="2"/>
  <c r="A122" i="2"/>
  <c r="G121" i="2"/>
  <c r="B121" i="2"/>
  <c r="A121" i="2"/>
  <c r="G120" i="2"/>
  <c r="B120" i="2"/>
  <c r="A120" i="2"/>
  <c r="G119" i="2"/>
  <c r="B119" i="2"/>
  <c r="A119" i="2"/>
  <c r="G118" i="2"/>
  <c r="B118" i="2"/>
  <c r="A118" i="2"/>
  <c r="G117" i="2"/>
  <c r="B117" i="2"/>
  <c r="A117" i="2"/>
  <c r="G116" i="2"/>
  <c r="B116" i="2"/>
  <c r="A116" i="2"/>
  <c r="G115" i="2"/>
  <c r="B115" i="2"/>
  <c r="A115" i="2"/>
  <c r="G114" i="2"/>
  <c r="B114" i="2"/>
  <c r="A114" i="2"/>
  <c r="G113" i="2"/>
  <c r="B113" i="2"/>
  <c r="A113" i="2"/>
  <c r="G112" i="2"/>
  <c r="B112" i="2"/>
  <c r="A112" i="2"/>
  <c r="G111" i="2"/>
  <c r="B111" i="2"/>
  <c r="A111" i="2"/>
  <c r="G110" i="2"/>
  <c r="B110" i="2"/>
  <c r="A110" i="2"/>
  <c r="G109" i="2"/>
  <c r="B109" i="2"/>
  <c r="A109" i="2"/>
  <c r="G108" i="2"/>
  <c r="B108" i="2"/>
  <c r="A108" i="2"/>
  <c r="G107" i="2"/>
  <c r="B107" i="2"/>
  <c r="A107" i="2"/>
  <c r="G106" i="2"/>
  <c r="B106" i="2"/>
  <c r="A106" i="2"/>
  <c r="G105" i="2"/>
  <c r="B105" i="2"/>
  <c r="A105" i="2"/>
  <c r="G104" i="2"/>
  <c r="B104" i="2"/>
  <c r="A104" i="2"/>
  <c r="G103" i="2"/>
  <c r="B103" i="2"/>
  <c r="A103" i="2"/>
  <c r="G102" i="2"/>
  <c r="B102" i="2"/>
  <c r="A102" i="2"/>
  <c r="G101" i="2"/>
  <c r="B101" i="2"/>
  <c r="A101" i="2"/>
  <c r="G100" i="2"/>
  <c r="B100" i="2"/>
  <c r="A100" i="2"/>
  <c r="G99" i="2"/>
  <c r="B99" i="2"/>
  <c r="A99" i="2"/>
  <c r="G98" i="2"/>
  <c r="B98" i="2"/>
  <c r="A98" i="2"/>
  <c r="G97" i="2"/>
  <c r="B97" i="2"/>
  <c r="A97" i="2"/>
  <c r="G96" i="2"/>
  <c r="B96" i="2"/>
  <c r="A96" i="2"/>
  <c r="G95" i="2"/>
  <c r="B95" i="2"/>
  <c r="A95" i="2"/>
  <c r="G94" i="2"/>
  <c r="B94" i="2"/>
  <c r="A94" i="2"/>
  <c r="G93" i="2"/>
  <c r="B93" i="2"/>
  <c r="A93" i="2"/>
  <c r="G92" i="2"/>
  <c r="B92" i="2"/>
  <c r="A92" i="2"/>
  <c r="G91" i="2"/>
  <c r="B91" i="2"/>
  <c r="A91" i="2"/>
  <c r="G90" i="2"/>
  <c r="B90" i="2"/>
  <c r="A90" i="2"/>
  <c r="G89" i="2"/>
  <c r="B89" i="2"/>
  <c r="A89" i="2"/>
  <c r="G88" i="2"/>
  <c r="B88" i="2"/>
  <c r="A88" i="2"/>
  <c r="G87" i="2"/>
  <c r="B87" i="2"/>
  <c r="A87" i="2"/>
  <c r="G86" i="2"/>
  <c r="B86" i="2"/>
  <c r="A86" i="2"/>
  <c r="G85" i="2"/>
  <c r="B85" i="2"/>
  <c r="A85" i="2"/>
  <c r="G84" i="2"/>
  <c r="B84" i="2"/>
  <c r="A84" i="2"/>
  <c r="G83" i="2"/>
  <c r="B83" i="2"/>
  <c r="A83" i="2"/>
  <c r="G82" i="2"/>
  <c r="B82" i="2"/>
  <c r="A82" i="2"/>
  <c r="G81" i="2"/>
  <c r="B81" i="2"/>
  <c r="A81" i="2"/>
  <c r="G80" i="2"/>
  <c r="B80" i="2"/>
  <c r="A80" i="2"/>
  <c r="G79" i="2"/>
  <c r="B79" i="2"/>
  <c r="A79" i="2"/>
  <c r="G78" i="2"/>
  <c r="B78" i="2"/>
  <c r="A78" i="2"/>
  <c r="G77" i="2"/>
  <c r="B77" i="2"/>
  <c r="A77" i="2"/>
  <c r="G76" i="2"/>
  <c r="B76" i="2"/>
  <c r="A76" i="2"/>
  <c r="G75" i="2"/>
  <c r="B75" i="2"/>
  <c r="A75" i="2"/>
  <c r="G74" i="2"/>
  <c r="B74" i="2"/>
  <c r="A74" i="2"/>
  <c r="G73" i="2"/>
  <c r="B73" i="2"/>
  <c r="A73" i="2"/>
  <c r="G72" i="2"/>
  <c r="B72" i="2"/>
  <c r="A72" i="2"/>
  <c r="G71" i="2"/>
  <c r="B71" i="2"/>
  <c r="A71" i="2"/>
  <c r="G70" i="2"/>
  <c r="B70" i="2"/>
  <c r="A70" i="2"/>
  <c r="G69" i="2"/>
  <c r="B69" i="2"/>
  <c r="A69" i="2"/>
  <c r="G68" i="2"/>
  <c r="B68" i="2"/>
  <c r="A68" i="2"/>
  <c r="G67" i="2"/>
  <c r="B67" i="2"/>
  <c r="A67" i="2"/>
  <c r="G66" i="2"/>
  <c r="B66" i="2"/>
  <c r="A66" i="2"/>
  <c r="G65" i="2"/>
  <c r="B65" i="2"/>
  <c r="A65" i="2"/>
  <c r="G64" i="2"/>
  <c r="B64" i="2"/>
  <c r="A64" i="2"/>
  <c r="G63" i="2"/>
  <c r="B63" i="2"/>
  <c r="A63" i="2"/>
  <c r="G62" i="2"/>
  <c r="B62" i="2"/>
  <c r="A62" i="2"/>
  <c r="G61" i="2"/>
  <c r="B61" i="2"/>
  <c r="A61" i="2"/>
  <c r="G60" i="2"/>
  <c r="B60" i="2"/>
  <c r="A60" i="2"/>
  <c r="G59" i="2"/>
  <c r="B59" i="2"/>
  <c r="A59" i="2"/>
  <c r="G58" i="2"/>
  <c r="B58" i="2"/>
  <c r="A58" i="2"/>
  <c r="G57" i="2"/>
  <c r="B57" i="2"/>
  <c r="A57" i="2"/>
  <c r="G56" i="2"/>
  <c r="B56" i="2"/>
  <c r="A56" i="2"/>
  <c r="G55" i="2"/>
  <c r="B55" i="2"/>
  <c r="A55" i="2"/>
  <c r="G54" i="2"/>
  <c r="B54" i="2"/>
  <c r="A54" i="2"/>
  <c r="G53" i="2"/>
  <c r="B53" i="2"/>
  <c r="A53" i="2"/>
  <c r="G52" i="2"/>
  <c r="B52" i="2"/>
  <c r="A52" i="2"/>
  <c r="G51" i="2"/>
  <c r="B51" i="2"/>
  <c r="A51" i="2"/>
  <c r="G50" i="2"/>
  <c r="B50" i="2"/>
  <c r="A50" i="2"/>
  <c r="G49" i="2"/>
  <c r="B49" i="2"/>
  <c r="A49" i="2"/>
  <c r="G48" i="2"/>
  <c r="B48" i="2"/>
  <c r="A48" i="2"/>
  <c r="G47" i="2"/>
  <c r="B47" i="2"/>
  <c r="A47" i="2"/>
  <c r="G46" i="2"/>
  <c r="B46" i="2"/>
  <c r="A46" i="2"/>
  <c r="G45" i="2"/>
  <c r="B45" i="2"/>
  <c r="A45" i="2"/>
  <c r="G44" i="2"/>
  <c r="B44" i="2"/>
  <c r="A44" i="2"/>
  <c r="G43" i="2"/>
  <c r="B43" i="2"/>
  <c r="A43" i="2"/>
  <c r="G42" i="2"/>
  <c r="B42" i="2"/>
  <c r="A42" i="2"/>
  <c r="G41" i="2"/>
  <c r="B41" i="2"/>
  <c r="A41" i="2"/>
  <c r="G40" i="2"/>
  <c r="B40" i="2"/>
  <c r="A40" i="2"/>
  <c r="G39" i="2"/>
  <c r="B39" i="2"/>
  <c r="A39" i="2"/>
  <c r="G38" i="2"/>
  <c r="B38" i="2"/>
  <c r="A38" i="2"/>
  <c r="G37" i="2"/>
  <c r="B37" i="2"/>
  <c r="A37" i="2"/>
  <c r="G36" i="2"/>
  <c r="B36" i="2"/>
  <c r="A36" i="2"/>
  <c r="G35" i="2"/>
  <c r="B35" i="2"/>
  <c r="A35" i="2"/>
  <c r="G34" i="2"/>
  <c r="B34" i="2"/>
  <c r="A34" i="2"/>
  <c r="G33" i="2"/>
  <c r="B33" i="2"/>
  <c r="A33" i="2"/>
  <c r="G32" i="2"/>
  <c r="B32" i="2"/>
  <c r="A32" i="2"/>
  <c r="G31" i="2"/>
  <c r="B31" i="2"/>
  <c r="A31" i="2"/>
  <c r="G30" i="2"/>
  <c r="B30" i="2"/>
  <c r="A30" i="2"/>
  <c r="G29" i="2"/>
  <c r="B29" i="2"/>
  <c r="A29" i="2"/>
  <c r="G28" i="2"/>
  <c r="B28" i="2"/>
  <c r="A28" i="2"/>
  <c r="G27" i="2"/>
  <c r="B27" i="2"/>
  <c r="A27" i="2"/>
  <c r="G26" i="2"/>
  <c r="B26" i="2"/>
  <c r="A26" i="2"/>
  <c r="G25" i="2"/>
  <c r="B25" i="2"/>
  <c r="A25" i="2"/>
  <c r="G24" i="2"/>
  <c r="B24" i="2"/>
  <c r="A24" i="2"/>
  <c r="G23" i="2"/>
  <c r="B23" i="2"/>
  <c r="A23" i="2"/>
  <c r="G22" i="2"/>
  <c r="B22" i="2"/>
  <c r="A22" i="2"/>
  <c r="G21" i="2"/>
  <c r="B21" i="2"/>
  <c r="A21" i="2"/>
  <c r="G20" i="2"/>
  <c r="B20" i="2"/>
  <c r="A20" i="2"/>
  <c r="G19" i="2"/>
  <c r="B19" i="2"/>
  <c r="A19" i="2"/>
  <c r="G18" i="2"/>
  <c r="B18" i="2"/>
  <c r="A18" i="2"/>
  <c r="G17" i="2"/>
  <c r="B17" i="2"/>
  <c r="A17" i="2"/>
  <c r="G16" i="2"/>
  <c r="B16" i="2"/>
  <c r="A16" i="2"/>
  <c r="G15" i="2"/>
  <c r="B15" i="2"/>
  <c r="A15" i="2"/>
  <c r="G14" i="2"/>
  <c r="B14" i="2"/>
  <c r="A14" i="2"/>
  <c r="G13" i="2"/>
  <c r="B13" i="2"/>
  <c r="A13" i="2"/>
  <c r="G12" i="2"/>
  <c r="B12" i="2"/>
  <c r="A12" i="2"/>
  <c r="G11" i="2"/>
  <c r="B11" i="2"/>
  <c r="A11" i="2"/>
  <c r="G10" i="2"/>
  <c r="B10" i="2"/>
  <c r="A10" i="2"/>
  <c r="QY7" i="2"/>
  <c r="QX7" i="2"/>
  <c r="QW7" i="2"/>
  <c r="QV7" i="2"/>
  <c r="QU7" i="2"/>
  <c r="QT7" i="2"/>
  <c r="QS7" i="2"/>
  <c r="QR7" i="2"/>
  <c r="QQ7" i="2"/>
  <c r="QP7" i="2"/>
  <c r="QO7" i="2"/>
  <c r="QN7" i="2"/>
  <c r="QM7" i="2"/>
  <c r="QL7" i="2"/>
  <c r="QK7" i="2"/>
  <c r="QJ7" i="2"/>
  <c r="QI7" i="2"/>
  <c r="QH7" i="2"/>
  <c r="QG7" i="2"/>
  <c r="QF7" i="2"/>
  <c r="QE7" i="2"/>
  <c r="QD7" i="2"/>
  <c r="QC7" i="2"/>
  <c r="QB7" i="2"/>
  <c r="QA7" i="2"/>
  <c r="PZ7" i="2"/>
  <c r="PY7" i="2"/>
  <c r="PX7" i="2"/>
  <c r="PW7" i="2"/>
  <c r="PV7" i="2"/>
  <c r="PU7" i="2"/>
  <c r="PT7" i="2"/>
  <c r="PS7" i="2"/>
  <c r="PR7" i="2"/>
  <c r="PQ7" i="2"/>
  <c r="PP7" i="2"/>
  <c r="PO7" i="2"/>
  <c r="PN7" i="2"/>
  <c r="PM7" i="2"/>
  <c r="PL7" i="2"/>
  <c r="PK7" i="2"/>
  <c r="PJ7" i="2"/>
  <c r="PI7" i="2"/>
  <c r="PH7" i="2"/>
  <c r="PG7" i="2"/>
  <c r="PF7" i="2"/>
  <c r="PE7" i="2"/>
  <c r="PD7" i="2"/>
  <c r="PC7" i="2"/>
  <c r="PB7" i="2"/>
  <c r="PA7" i="2"/>
  <c r="OZ7" i="2"/>
  <c r="OY7" i="2"/>
  <c r="OX7" i="2"/>
  <c r="OW7" i="2"/>
  <c r="OV7" i="2"/>
  <c r="OU7" i="2"/>
  <c r="OT7" i="2"/>
  <c r="OS7" i="2"/>
  <c r="OR7" i="2"/>
  <c r="OQ7" i="2"/>
  <c r="OP7" i="2"/>
  <c r="OO7" i="2"/>
  <c r="ON7" i="2"/>
  <c r="OM7" i="2"/>
  <c r="OL7" i="2"/>
  <c r="OK7" i="2"/>
  <c r="OJ7" i="2"/>
  <c r="OI7" i="2"/>
  <c r="OH7" i="2"/>
  <c r="OG7" i="2"/>
  <c r="OF7" i="2"/>
  <c r="OE7" i="2"/>
  <c r="OD7" i="2"/>
  <c r="OC7" i="2"/>
  <c r="OB7" i="2"/>
  <c r="OA7" i="2"/>
  <c r="NZ7" i="2"/>
  <c r="NY7" i="2"/>
  <c r="NX7" i="2"/>
  <c r="NW7" i="2"/>
  <c r="NV7" i="2"/>
  <c r="NU7" i="2"/>
  <c r="NT7" i="2"/>
  <c r="NS7" i="2"/>
  <c r="NR7" i="2"/>
  <c r="NQ7" i="2"/>
  <c r="NP7" i="2"/>
  <c r="NO7" i="2"/>
  <c r="NN7" i="2"/>
  <c r="NM7" i="2"/>
  <c r="NL7" i="2"/>
  <c r="NK7" i="2"/>
  <c r="NJ7" i="2"/>
  <c r="NI7" i="2"/>
  <c r="NH7" i="2"/>
  <c r="NG7" i="2"/>
  <c r="NF7" i="2"/>
  <c r="NE7" i="2"/>
  <c r="ND7" i="2"/>
  <c r="NC7" i="2"/>
  <c r="NB7" i="2"/>
  <c r="NA7" i="2"/>
  <c r="MZ7" i="2"/>
  <c r="MY7" i="2"/>
  <c r="MX7" i="2"/>
  <c r="MW7" i="2"/>
  <c r="MV7" i="2"/>
  <c r="MU7" i="2"/>
  <c r="MT7" i="2"/>
  <c r="MS7" i="2"/>
  <c r="MR7" i="2"/>
  <c r="MQ7" i="2"/>
  <c r="MP7" i="2"/>
  <c r="MO7" i="2"/>
  <c r="MN7" i="2"/>
  <c r="MM7" i="2"/>
  <c r="ML7" i="2"/>
  <c r="MK7" i="2"/>
  <c r="MJ7" i="2"/>
  <c r="MI7" i="2"/>
  <c r="MH7" i="2"/>
  <c r="MG7" i="2"/>
  <c r="MF7" i="2"/>
  <c r="ME7" i="2"/>
  <c r="MD7" i="2"/>
  <c r="MC7" i="2"/>
  <c r="MB7" i="2"/>
  <c r="MA7" i="2"/>
  <c r="LZ7" i="2"/>
  <c r="LY7" i="2"/>
  <c r="LX7" i="2"/>
  <c r="LW7" i="2"/>
  <c r="LV7" i="2"/>
  <c r="LU7" i="2"/>
  <c r="LT7" i="2"/>
  <c r="LS7" i="2"/>
  <c r="LR7" i="2"/>
  <c r="LQ7" i="2"/>
  <c r="LP7" i="2"/>
  <c r="LO7" i="2"/>
  <c r="LN7" i="2"/>
  <c r="LM7" i="2"/>
  <c r="LL7" i="2"/>
  <c r="LK7" i="2"/>
  <c r="LJ7" i="2"/>
  <c r="LI7" i="2"/>
  <c r="LH7" i="2"/>
  <c r="LG7" i="2"/>
  <c r="LF7" i="2"/>
  <c r="LE7" i="2"/>
  <c r="LD7" i="2"/>
  <c r="LC7" i="2"/>
  <c r="LB7" i="2"/>
  <c r="LA7" i="2"/>
  <c r="KZ7" i="2"/>
  <c r="KY7" i="2"/>
  <c r="KX7" i="2"/>
  <c r="KW7" i="2"/>
  <c r="KV7" i="2"/>
  <c r="KU7" i="2"/>
  <c r="KT7" i="2"/>
  <c r="KS7" i="2"/>
  <c r="KR7" i="2"/>
  <c r="KQ7" i="2"/>
  <c r="KP7" i="2"/>
  <c r="KO7" i="2"/>
  <c r="KN7" i="2"/>
  <c r="KM7" i="2"/>
  <c r="KL7" i="2"/>
  <c r="KK7" i="2"/>
  <c r="KJ7" i="2"/>
  <c r="KI7" i="2"/>
  <c r="KH7" i="2"/>
  <c r="KG7" i="2"/>
  <c r="KF7" i="2"/>
  <c r="KE7" i="2"/>
  <c r="KD7" i="2"/>
  <c r="KC7" i="2"/>
  <c r="KB7" i="2"/>
  <c r="KA7" i="2"/>
  <c r="JZ7" i="2"/>
  <c r="JY7" i="2"/>
  <c r="JX7" i="2"/>
  <c r="JW7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DA541" i="1"/>
  <c r="DB541" i="1"/>
  <c r="DC541" i="1"/>
  <c r="DD541" i="1"/>
  <c r="DE541" i="1"/>
  <c r="DF541" i="1"/>
  <c r="DG541" i="1"/>
  <c r="DH541" i="1"/>
  <c r="DI541" i="1"/>
  <c r="DJ541" i="1"/>
  <c r="DK541" i="1"/>
  <c r="DL541" i="1"/>
  <c r="DM541" i="1"/>
  <c r="DN541" i="1"/>
  <c r="DO541" i="1"/>
  <c r="DP541" i="1"/>
  <c r="DQ541" i="1"/>
  <c r="DR541" i="1"/>
  <c r="DS541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EM541" i="1"/>
  <c r="EN541" i="1"/>
  <c r="EO541" i="1"/>
  <c r="EP541" i="1"/>
  <c r="EQ541" i="1"/>
  <c r="ER541" i="1"/>
  <c r="ES541" i="1"/>
  <c r="ET541" i="1"/>
  <c r="EU541" i="1"/>
  <c r="EV541" i="1"/>
  <c r="EW541" i="1"/>
  <c r="EX541" i="1"/>
  <c r="EY541" i="1"/>
  <c r="EZ541" i="1"/>
  <c r="FA541" i="1"/>
  <c r="FB541" i="1"/>
  <c r="FC541" i="1"/>
  <c r="FD541" i="1"/>
  <c r="FE541" i="1"/>
  <c r="FF541" i="1"/>
  <c r="FG541" i="1"/>
  <c r="FH541" i="1"/>
  <c r="FI541" i="1"/>
  <c r="FJ541" i="1"/>
  <c r="FK541" i="1"/>
  <c r="FL541" i="1"/>
  <c r="FM541" i="1"/>
  <c r="FN541" i="1"/>
  <c r="FO541" i="1"/>
  <c r="FP541" i="1"/>
  <c r="FQ541" i="1"/>
  <c r="FR541" i="1"/>
  <c r="FS541" i="1"/>
  <c r="FT541" i="1"/>
  <c r="FU541" i="1"/>
  <c r="FV541" i="1"/>
  <c r="FW541" i="1"/>
  <c r="FX541" i="1"/>
  <c r="FY541" i="1"/>
  <c r="FZ541" i="1"/>
  <c r="GA541" i="1"/>
  <c r="GB541" i="1"/>
  <c r="GC541" i="1"/>
  <c r="GD541" i="1"/>
  <c r="GE541" i="1"/>
  <c r="GF541" i="1"/>
  <c r="GG541" i="1"/>
  <c r="GH541" i="1"/>
  <c r="GI541" i="1"/>
  <c r="GJ541" i="1"/>
  <c r="GK541" i="1"/>
  <c r="GL541" i="1"/>
  <c r="GM541" i="1"/>
  <c r="GN541" i="1"/>
  <c r="GO541" i="1"/>
  <c r="GP541" i="1"/>
  <c r="GQ541" i="1"/>
  <c r="GR541" i="1"/>
  <c r="GS541" i="1"/>
  <c r="GT541" i="1"/>
  <c r="GU541" i="1"/>
  <c r="GV541" i="1"/>
  <c r="GW541" i="1"/>
  <c r="GX541" i="1"/>
  <c r="GY541" i="1"/>
  <c r="GZ541" i="1"/>
  <c r="HA541" i="1"/>
  <c r="HB541" i="1"/>
  <c r="HC541" i="1"/>
  <c r="HD541" i="1"/>
  <c r="HE541" i="1"/>
  <c r="HF541" i="1"/>
  <c r="HG541" i="1"/>
  <c r="HH541" i="1"/>
  <c r="HI541" i="1"/>
  <c r="HJ541" i="1"/>
  <c r="HK541" i="1"/>
  <c r="HL541" i="1"/>
  <c r="HM541" i="1"/>
  <c r="HN541" i="1"/>
  <c r="HO541" i="1"/>
  <c r="HP541" i="1"/>
  <c r="HQ541" i="1"/>
  <c r="HR541" i="1"/>
  <c r="HS541" i="1"/>
  <c r="HT541" i="1"/>
  <c r="HU541" i="1"/>
  <c r="HV541" i="1"/>
  <c r="HW541" i="1"/>
  <c r="HX541" i="1"/>
  <c r="HY541" i="1"/>
  <c r="HZ541" i="1"/>
  <c r="IA541" i="1"/>
  <c r="IB541" i="1"/>
  <c r="IC541" i="1"/>
  <c r="ID541" i="1"/>
  <c r="IE541" i="1"/>
  <c r="IF541" i="1"/>
  <c r="IG541" i="1"/>
  <c r="IH541" i="1"/>
  <c r="II541" i="1"/>
  <c r="IJ541" i="1"/>
  <c r="IK541" i="1"/>
  <c r="IL541" i="1"/>
  <c r="IM541" i="1"/>
  <c r="IN541" i="1"/>
  <c r="IO541" i="1"/>
  <c r="IP541" i="1"/>
  <c r="IQ541" i="1"/>
  <c r="IR541" i="1"/>
  <c r="IS541" i="1"/>
  <c r="IT541" i="1"/>
  <c r="IU541" i="1"/>
  <c r="IV541" i="1"/>
  <c r="IW541" i="1"/>
  <c r="IX541" i="1"/>
  <c r="IY541" i="1"/>
  <c r="IZ541" i="1"/>
  <c r="JA541" i="1"/>
  <c r="JB541" i="1"/>
  <c r="JC541" i="1"/>
  <c r="JD541" i="1"/>
  <c r="JE541" i="1"/>
  <c r="JF541" i="1"/>
  <c r="JG541" i="1"/>
  <c r="JH541" i="1"/>
  <c r="JI541" i="1"/>
  <c r="JJ541" i="1"/>
  <c r="JK541" i="1"/>
  <c r="JL541" i="1"/>
  <c r="JM541" i="1"/>
  <c r="JN541" i="1"/>
  <c r="JO541" i="1"/>
  <c r="JP541" i="1"/>
  <c r="JQ541" i="1"/>
  <c r="JR541" i="1"/>
  <c r="JS541" i="1"/>
  <c r="JT541" i="1"/>
  <c r="JU541" i="1"/>
  <c r="JV541" i="1"/>
  <c r="JW541" i="1"/>
  <c r="JX541" i="1"/>
  <c r="JY541" i="1"/>
  <c r="JZ541" i="1"/>
  <c r="KA541" i="1"/>
  <c r="KB541" i="1"/>
  <c r="KC541" i="1"/>
  <c r="KD541" i="1"/>
  <c r="KE541" i="1"/>
  <c r="KF541" i="1"/>
  <c r="KG541" i="1"/>
  <c r="KH541" i="1"/>
  <c r="KI541" i="1"/>
  <c r="KJ541" i="1"/>
  <c r="KK541" i="1"/>
  <c r="KL541" i="1"/>
  <c r="KM541" i="1"/>
  <c r="KN541" i="1"/>
  <c r="KO541" i="1"/>
  <c r="KP541" i="1"/>
  <c r="KQ541" i="1"/>
  <c r="KR541" i="1"/>
  <c r="KS541" i="1"/>
  <c r="KT541" i="1"/>
  <c r="KU541" i="1"/>
  <c r="KV541" i="1"/>
  <c r="KW541" i="1"/>
  <c r="KX541" i="1"/>
  <c r="KY541" i="1"/>
  <c r="KZ541" i="1"/>
  <c r="LA541" i="1"/>
  <c r="LB541" i="1"/>
  <c r="LC541" i="1"/>
  <c r="LD541" i="1"/>
  <c r="LE541" i="1"/>
  <c r="LF541" i="1"/>
  <c r="LG541" i="1"/>
  <c r="LH541" i="1"/>
  <c r="LI541" i="1"/>
  <c r="LJ541" i="1"/>
  <c r="LK541" i="1"/>
  <c r="LL541" i="1"/>
  <c r="LM541" i="1"/>
  <c r="LN541" i="1"/>
  <c r="LO541" i="1"/>
  <c r="LP541" i="1"/>
  <c r="LQ541" i="1"/>
  <c r="LR541" i="1"/>
  <c r="LS541" i="1"/>
  <c r="LT541" i="1"/>
  <c r="LU541" i="1"/>
  <c r="LV541" i="1"/>
  <c r="LW541" i="1"/>
  <c r="LX541" i="1"/>
  <c r="LY541" i="1"/>
  <c r="LZ541" i="1"/>
  <c r="MA541" i="1"/>
  <c r="MB541" i="1"/>
  <c r="MC541" i="1"/>
  <c r="MD541" i="1"/>
  <c r="ME541" i="1"/>
  <c r="MF541" i="1"/>
  <c r="MG541" i="1"/>
  <c r="MH541" i="1"/>
  <c r="MI541" i="1"/>
  <c r="MJ541" i="1"/>
  <c r="MK541" i="1"/>
  <c r="ML541" i="1"/>
  <c r="MM541" i="1"/>
  <c r="MN541" i="1"/>
  <c r="MO541" i="1"/>
  <c r="MP541" i="1"/>
  <c r="MQ541" i="1"/>
  <c r="MR541" i="1"/>
  <c r="MS541" i="1"/>
  <c r="MT541" i="1"/>
  <c r="MU541" i="1"/>
  <c r="MV541" i="1"/>
  <c r="MW541" i="1"/>
  <c r="MX541" i="1"/>
  <c r="MY541" i="1"/>
  <c r="MZ541" i="1"/>
  <c r="NA541" i="1"/>
  <c r="NB541" i="1"/>
  <c r="NC541" i="1"/>
  <c r="ND541" i="1"/>
  <c r="NE541" i="1"/>
  <c r="NF541" i="1"/>
  <c r="NG541" i="1"/>
  <c r="NH541" i="1"/>
  <c r="NI541" i="1"/>
  <c r="NJ541" i="1"/>
  <c r="NK541" i="1"/>
  <c r="NL541" i="1"/>
  <c r="NM541" i="1"/>
  <c r="NN541" i="1"/>
  <c r="NO541" i="1"/>
  <c r="NP541" i="1"/>
  <c r="NQ541" i="1"/>
  <c r="NR541" i="1"/>
  <c r="NS541" i="1"/>
  <c r="NT541" i="1"/>
  <c r="NU541" i="1"/>
  <c r="NV541" i="1"/>
  <c r="NW541" i="1"/>
  <c r="NX541" i="1"/>
  <c r="NY541" i="1"/>
  <c r="NZ541" i="1"/>
  <c r="OA541" i="1"/>
  <c r="OB541" i="1"/>
  <c r="OC541" i="1"/>
  <c r="OD541" i="1"/>
  <c r="OE541" i="1"/>
  <c r="OF541" i="1"/>
  <c r="OG541" i="1"/>
  <c r="OH541" i="1"/>
  <c r="OI541" i="1"/>
  <c r="OJ541" i="1"/>
  <c r="OK541" i="1"/>
  <c r="OL541" i="1"/>
  <c r="OM541" i="1"/>
  <c r="ON541" i="1"/>
  <c r="OO541" i="1"/>
  <c r="OP541" i="1"/>
  <c r="OQ541" i="1"/>
  <c r="OR541" i="1"/>
  <c r="OS541" i="1"/>
  <c r="OT541" i="1"/>
  <c r="OU541" i="1"/>
  <c r="OV541" i="1"/>
  <c r="OW541" i="1"/>
  <c r="OX541" i="1"/>
  <c r="OY541" i="1"/>
  <c r="OZ541" i="1"/>
  <c r="PA541" i="1"/>
  <c r="PB541" i="1"/>
  <c r="PC541" i="1"/>
  <c r="PD541" i="1"/>
  <c r="PE541" i="1"/>
  <c r="PF541" i="1"/>
  <c r="PG541" i="1"/>
  <c r="PH541" i="1"/>
  <c r="PI541" i="1"/>
  <c r="PJ541" i="1"/>
  <c r="PK541" i="1"/>
  <c r="PL541" i="1"/>
  <c r="PM541" i="1"/>
  <c r="PN541" i="1"/>
  <c r="PO541" i="1"/>
  <c r="PP541" i="1"/>
  <c r="PQ541" i="1"/>
  <c r="PR541" i="1"/>
  <c r="PS541" i="1"/>
  <c r="PT541" i="1"/>
  <c r="PU541" i="1"/>
  <c r="PV541" i="1"/>
  <c r="PW541" i="1"/>
  <c r="PX541" i="1"/>
  <c r="PY541" i="1"/>
  <c r="PZ541" i="1"/>
  <c r="QA541" i="1"/>
  <c r="QB541" i="1"/>
  <c r="QC541" i="1"/>
  <c r="QD541" i="1"/>
  <c r="QE541" i="1"/>
  <c r="QF541" i="1"/>
  <c r="QG541" i="1"/>
  <c r="QH541" i="1"/>
  <c r="QI541" i="1"/>
  <c r="QJ541" i="1"/>
  <c r="QK541" i="1"/>
  <c r="QL541" i="1"/>
  <c r="QM541" i="1"/>
  <c r="QN541" i="1"/>
  <c r="QO541" i="1"/>
  <c r="QP541" i="1"/>
  <c r="QQ541" i="1"/>
  <c r="QR541" i="1"/>
  <c r="QS541" i="1"/>
  <c r="QT541" i="1"/>
  <c r="QU541" i="1"/>
  <c r="QV541" i="1"/>
  <c r="QW541" i="1"/>
  <c r="QX541" i="1"/>
  <c r="QY541" i="1"/>
  <c r="B3" i="1"/>
  <c r="H3" i="1"/>
  <c r="N3" i="1"/>
  <c r="B478" i="1"/>
  <c r="H478" i="1"/>
  <c r="N478" i="1"/>
  <c r="B514" i="1"/>
  <c r="H514" i="1"/>
  <c r="N514" i="1"/>
  <c r="B515" i="1"/>
  <c r="H515" i="1"/>
  <c r="N515" i="1"/>
  <c r="B4" i="1"/>
  <c r="H4" i="1"/>
  <c r="N4" i="1"/>
  <c r="B6" i="1"/>
  <c r="H6" i="1"/>
  <c r="N6" i="1"/>
  <c r="B55" i="1"/>
  <c r="H55" i="1"/>
  <c r="N55" i="1"/>
  <c r="B488" i="1"/>
  <c r="H488" i="1"/>
  <c r="N488" i="1"/>
  <c r="B498" i="1"/>
  <c r="H498" i="1"/>
  <c r="N498" i="1"/>
  <c r="B19" i="1"/>
  <c r="H19" i="1"/>
  <c r="N19" i="1"/>
  <c r="B11" i="1"/>
  <c r="H11" i="1"/>
  <c r="N11" i="1"/>
  <c r="B499" i="1"/>
  <c r="H499" i="1"/>
  <c r="N499" i="1"/>
  <c r="B7" i="1"/>
  <c r="H7" i="1"/>
  <c r="N7" i="1"/>
  <c r="B5" i="1"/>
  <c r="H5" i="1"/>
  <c r="N5" i="1"/>
  <c r="B8" i="1"/>
  <c r="H8" i="1"/>
  <c r="N8" i="1"/>
  <c r="B101" i="1"/>
  <c r="H101" i="1"/>
  <c r="N101" i="1"/>
  <c r="B10" i="1"/>
  <c r="H10" i="1"/>
  <c r="N10" i="1"/>
  <c r="B12" i="1"/>
  <c r="H12" i="1"/>
  <c r="N12" i="1"/>
  <c r="B25" i="1"/>
  <c r="H25" i="1"/>
  <c r="N25" i="1"/>
  <c r="B500" i="1"/>
  <c r="H500" i="1"/>
  <c r="N500" i="1"/>
  <c r="B73" i="1"/>
  <c r="H73" i="1"/>
  <c r="N73" i="1"/>
  <c r="B9" i="1"/>
  <c r="H9" i="1"/>
  <c r="N9" i="1"/>
  <c r="B15" i="1"/>
  <c r="H15" i="1"/>
  <c r="N15" i="1"/>
  <c r="B17" i="1"/>
  <c r="H17" i="1"/>
  <c r="N17" i="1"/>
  <c r="B20" i="1"/>
  <c r="H20" i="1"/>
  <c r="N20" i="1"/>
  <c r="B13" i="1"/>
  <c r="H13" i="1"/>
  <c r="N13" i="1"/>
  <c r="B14" i="1"/>
  <c r="H14" i="1"/>
  <c r="N14" i="1"/>
  <c r="B22" i="1"/>
  <c r="H22" i="1"/>
  <c r="N22" i="1"/>
  <c r="B16" i="1"/>
  <c r="H16" i="1"/>
  <c r="N16" i="1"/>
  <c r="B24" i="1"/>
  <c r="H24" i="1"/>
  <c r="N24" i="1"/>
  <c r="B32" i="1"/>
  <c r="H32" i="1"/>
  <c r="N32" i="1"/>
  <c r="B23" i="1"/>
  <c r="H23" i="1"/>
  <c r="N23" i="1"/>
  <c r="B44" i="1"/>
  <c r="H44" i="1"/>
  <c r="N44" i="1"/>
  <c r="B45" i="1"/>
  <c r="H45" i="1"/>
  <c r="N45" i="1"/>
  <c r="B18" i="1"/>
  <c r="H18" i="1"/>
  <c r="N18" i="1"/>
  <c r="B28" i="1"/>
  <c r="H28" i="1"/>
  <c r="N28" i="1"/>
  <c r="B21" i="1"/>
  <c r="H21" i="1"/>
  <c r="N21" i="1"/>
  <c r="B501" i="1"/>
  <c r="H501" i="1"/>
  <c r="N501" i="1"/>
  <c r="B29" i="1"/>
  <c r="H29" i="1"/>
  <c r="N29" i="1"/>
  <c r="B26" i="1"/>
  <c r="H26" i="1"/>
  <c r="N26" i="1"/>
  <c r="B33" i="1"/>
  <c r="H33" i="1"/>
  <c r="N33" i="1"/>
  <c r="B49" i="1"/>
  <c r="H49" i="1"/>
  <c r="N49" i="1"/>
  <c r="B30" i="1"/>
  <c r="H30" i="1"/>
  <c r="N30" i="1"/>
  <c r="B63" i="1"/>
  <c r="H63" i="1"/>
  <c r="N63" i="1"/>
  <c r="B502" i="1"/>
  <c r="H502" i="1"/>
  <c r="N502" i="1"/>
  <c r="B41" i="1"/>
  <c r="H41" i="1"/>
  <c r="N41" i="1"/>
  <c r="B27" i="1"/>
  <c r="H27" i="1"/>
  <c r="N27" i="1"/>
  <c r="B46" i="1"/>
  <c r="H46" i="1"/>
  <c r="N46" i="1"/>
  <c r="B56" i="1"/>
  <c r="H56" i="1"/>
  <c r="N56" i="1"/>
  <c r="B326" i="1"/>
  <c r="H326" i="1"/>
  <c r="N326" i="1"/>
  <c r="B34" i="1"/>
  <c r="H34" i="1"/>
  <c r="N34" i="1"/>
  <c r="B47" i="1"/>
  <c r="H47" i="1"/>
  <c r="N47" i="1"/>
  <c r="B35" i="1"/>
  <c r="H35" i="1"/>
  <c r="N35" i="1"/>
  <c r="B38" i="1"/>
  <c r="H38" i="1"/>
  <c r="N38" i="1"/>
  <c r="B479" i="1"/>
  <c r="H479" i="1"/>
  <c r="N479" i="1"/>
  <c r="B64" i="1"/>
  <c r="H64" i="1"/>
  <c r="N64" i="1"/>
  <c r="B74" i="1"/>
  <c r="H74" i="1"/>
  <c r="N74" i="1"/>
  <c r="B503" i="1"/>
  <c r="H503" i="1"/>
  <c r="N503" i="1"/>
  <c r="B42" i="1"/>
  <c r="H42" i="1"/>
  <c r="N42" i="1"/>
  <c r="B48" i="1"/>
  <c r="H48" i="1"/>
  <c r="N48" i="1"/>
  <c r="B65" i="1"/>
  <c r="H65" i="1"/>
  <c r="N65" i="1"/>
  <c r="B516" i="1"/>
  <c r="H516" i="1"/>
  <c r="N516" i="1"/>
  <c r="B37" i="1"/>
  <c r="H37" i="1"/>
  <c r="N37" i="1"/>
  <c r="B36" i="1"/>
  <c r="H36" i="1"/>
  <c r="N36" i="1"/>
  <c r="B57" i="1"/>
  <c r="H57" i="1"/>
  <c r="N57" i="1"/>
  <c r="B31" i="1"/>
  <c r="H31" i="1"/>
  <c r="N31" i="1"/>
  <c r="B58" i="1"/>
  <c r="H58" i="1"/>
  <c r="N58" i="1"/>
  <c r="B39" i="1"/>
  <c r="H39" i="1"/>
  <c r="N39" i="1"/>
  <c r="B40" i="1"/>
  <c r="H40" i="1"/>
  <c r="N40" i="1"/>
  <c r="B75" i="1"/>
  <c r="H75" i="1"/>
  <c r="N75" i="1"/>
  <c r="B59" i="1"/>
  <c r="H59" i="1"/>
  <c r="N59" i="1"/>
  <c r="B61" i="1"/>
  <c r="H61" i="1"/>
  <c r="N61" i="1"/>
  <c r="B50" i="1"/>
  <c r="H50" i="1"/>
  <c r="N50" i="1"/>
  <c r="B88" i="1"/>
  <c r="H88" i="1"/>
  <c r="N88" i="1"/>
  <c r="B43" i="1"/>
  <c r="H43" i="1"/>
  <c r="N43" i="1"/>
  <c r="B51" i="1"/>
  <c r="H51" i="1"/>
  <c r="N51" i="1"/>
  <c r="B52" i="1"/>
  <c r="H52" i="1"/>
  <c r="N52" i="1"/>
  <c r="B53" i="1"/>
  <c r="H53" i="1"/>
  <c r="N53" i="1"/>
  <c r="B166" i="1"/>
  <c r="H166" i="1"/>
  <c r="N166" i="1"/>
  <c r="B60" i="1"/>
  <c r="H60" i="1"/>
  <c r="N60" i="1"/>
  <c r="B54" i="1"/>
  <c r="H54" i="1"/>
  <c r="N54" i="1"/>
  <c r="B62" i="1"/>
  <c r="H62" i="1"/>
  <c r="N62" i="1"/>
  <c r="B80" i="1"/>
  <c r="H80" i="1"/>
  <c r="N80" i="1"/>
  <c r="B76" i="1"/>
  <c r="H76" i="1"/>
  <c r="N76" i="1"/>
  <c r="B69" i="1"/>
  <c r="H69" i="1"/>
  <c r="N69" i="1"/>
  <c r="B70" i="1"/>
  <c r="H70" i="1"/>
  <c r="N70" i="1"/>
  <c r="B102" i="1"/>
  <c r="H102" i="1"/>
  <c r="N102" i="1"/>
  <c r="B71" i="1"/>
  <c r="H71" i="1"/>
  <c r="N71" i="1"/>
  <c r="B89" i="1"/>
  <c r="H89" i="1"/>
  <c r="N89" i="1"/>
  <c r="B77" i="1"/>
  <c r="H77" i="1"/>
  <c r="N77" i="1"/>
  <c r="B81" i="1"/>
  <c r="H81" i="1"/>
  <c r="N81" i="1"/>
  <c r="B281" i="1"/>
  <c r="H281" i="1"/>
  <c r="N281" i="1"/>
  <c r="B66" i="1"/>
  <c r="H66" i="1"/>
  <c r="N66" i="1"/>
  <c r="B90" i="1"/>
  <c r="H90" i="1"/>
  <c r="N90" i="1"/>
  <c r="B471" i="1"/>
  <c r="H471" i="1"/>
  <c r="N471" i="1"/>
  <c r="B517" i="1"/>
  <c r="H517" i="1"/>
  <c r="N517" i="1"/>
  <c r="B91" i="1"/>
  <c r="H91" i="1"/>
  <c r="N91" i="1"/>
  <c r="B92" i="1"/>
  <c r="H92" i="1"/>
  <c r="N92" i="1"/>
  <c r="B504" i="1"/>
  <c r="H504" i="1"/>
  <c r="N504" i="1"/>
  <c r="B103" i="1"/>
  <c r="H103" i="1"/>
  <c r="N103" i="1"/>
  <c r="B67" i="1"/>
  <c r="H67" i="1"/>
  <c r="N67" i="1"/>
  <c r="B82" i="1"/>
  <c r="H82" i="1"/>
  <c r="N82" i="1"/>
  <c r="B282" i="1"/>
  <c r="H282" i="1"/>
  <c r="N282" i="1"/>
  <c r="B518" i="1"/>
  <c r="H518" i="1"/>
  <c r="N518" i="1"/>
  <c r="B68" i="1"/>
  <c r="H68" i="1"/>
  <c r="N68" i="1"/>
  <c r="B83" i="1"/>
  <c r="H83" i="1"/>
  <c r="N83" i="1"/>
  <c r="B72" i="1"/>
  <c r="H72" i="1"/>
  <c r="N72" i="1"/>
  <c r="B96" i="1"/>
  <c r="H96" i="1"/>
  <c r="N96" i="1"/>
  <c r="B84" i="1"/>
  <c r="H84" i="1"/>
  <c r="N84" i="1"/>
  <c r="B85" i="1"/>
  <c r="H85" i="1"/>
  <c r="N85" i="1"/>
  <c r="B104" i="1"/>
  <c r="H104" i="1"/>
  <c r="N104" i="1"/>
  <c r="B105" i="1"/>
  <c r="H105" i="1"/>
  <c r="N105" i="1"/>
  <c r="B86" i="1"/>
  <c r="H86" i="1"/>
  <c r="N86" i="1"/>
  <c r="B97" i="1"/>
  <c r="H97" i="1"/>
  <c r="N97" i="1"/>
  <c r="B87" i="1"/>
  <c r="H87" i="1"/>
  <c r="N87" i="1"/>
  <c r="B505" i="1"/>
  <c r="H505" i="1"/>
  <c r="N505" i="1"/>
  <c r="B93" i="1"/>
  <c r="H93" i="1"/>
  <c r="N93" i="1"/>
  <c r="B106" i="1"/>
  <c r="H106" i="1"/>
  <c r="N106" i="1"/>
  <c r="B78" i="1"/>
  <c r="H78" i="1"/>
  <c r="N78" i="1"/>
  <c r="B98" i="1"/>
  <c r="H98" i="1"/>
  <c r="N98" i="1"/>
  <c r="B489" i="1"/>
  <c r="H489" i="1"/>
  <c r="N489" i="1"/>
  <c r="B132" i="1"/>
  <c r="H132" i="1"/>
  <c r="N132" i="1"/>
  <c r="B99" i="1"/>
  <c r="H99" i="1"/>
  <c r="N99" i="1"/>
  <c r="B121" i="1"/>
  <c r="H121" i="1"/>
  <c r="N121" i="1"/>
  <c r="B79" i="1"/>
  <c r="H79" i="1"/>
  <c r="N79" i="1"/>
  <c r="B107" i="1"/>
  <c r="H107" i="1"/>
  <c r="N107" i="1"/>
  <c r="B506" i="1"/>
  <c r="H506" i="1"/>
  <c r="N506" i="1"/>
  <c r="B94" i="1"/>
  <c r="H94" i="1"/>
  <c r="N94" i="1"/>
  <c r="B108" i="1"/>
  <c r="H108" i="1"/>
  <c r="N108" i="1"/>
  <c r="B122" i="1"/>
  <c r="H122" i="1"/>
  <c r="N122" i="1"/>
  <c r="B480" i="1"/>
  <c r="H480" i="1"/>
  <c r="N480" i="1"/>
  <c r="B483" i="1"/>
  <c r="H483" i="1"/>
  <c r="N483" i="1"/>
  <c r="B110" i="1"/>
  <c r="H110" i="1"/>
  <c r="N110" i="1"/>
  <c r="B245" i="1"/>
  <c r="H245" i="1"/>
  <c r="N245" i="1"/>
  <c r="B115" i="1"/>
  <c r="H115" i="1"/>
  <c r="N115" i="1"/>
  <c r="B111" i="1"/>
  <c r="H111" i="1"/>
  <c r="N111" i="1"/>
  <c r="B112" i="1"/>
  <c r="H112" i="1"/>
  <c r="N112" i="1"/>
  <c r="B142" i="1"/>
  <c r="H142" i="1"/>
  <c r="N142" i="1"/>
  <c r="B123" i="1"/>
  <c r="H123" i="1"/>
  <c r="N123" i="1"/>
  <c r="B143" i="1"/>
  <c r="H143" i="1"/>
  <c r="N143" i="1"/>
  <c r="B95" i="1"/>
  <c r="H95" i="1"/>
  <c r="N95" i="1"/>
  <c r="B116" i="1"/>
  <c r="H116" i="1"/>
  <c r="N116" i="1"/>
  <c r="B117" i="1"/>
  <c r="H117" i="1"/>
  <c r="N117" i="1"/>
  <c r="B109" i="1"/>
  <c r="H109" i="1"/>
  <c r="N109" i="1"/>
  <c r="B118" i="1"/>
  <c r="H118" i="1"/>
  <c r="N118" i="1"/>
  <c r="B119" i="1"/>
  <c r="H119" i="1"/>
  <c r="N119" i="1"/>
  <c r="B100" i="1"/>
  <c r="H100" i="1"/>
  <c r="N100" i="1"/>
  <c r="B124" i="1"/>
  <c r="H124" i="1"/>
  <c r="N124" i="1"/>
  <c r="B120" i="1"/>
  <c r="H120" i="1"/>
  <c r="N120" i="1"/>
  <c r="B133" i="1"/>
  <c r="H133" i="1"/>
  <c r="N133" i="1"/>
  <c r="B393" i="1"/>
  <c r="H393" i="1"/>
  <c r="N393" i="1"/>
  <c r="B519" i="1"/>
  <c r="H519" i="1"/>
  <c r="N519" i="1"/>
  <c r="B134" i="1"/>
  <c r="H134" i="1"/>
  <c r="N134" i="1"/>
  <c r="B135" i="1"/>
  <c r="H135" i="1"/>
  <c r="N135" i="1"/>
  <c r="B167" i="1"/>
  <c r="H167" i="1"/>
  <c r="N167" i="1"/>
  <c r="B136" i="1"/>
  <c r="H136" i="1"/>
  <c r="N136" i="1"/>
  <c r="B137" i="1"/>
  <c r="H137" i="1"/>
  <c r="N137" i="1"/>
  <c r="B113" i="1"/>
  <c r="H113" i="1"/>
  <c r="N113" i="1"/>
  <c r="B138" i="1"/>
  <c r="H138" i="1"/>
  <c r="N138" i="1"/>
  <c r="B520" i="1"/>
  <c r="H520" i="1"/>
  <c r="N520" i="1"/>
  <c r="B521" i="1"/>
  <c r="H521" i="1"/>
  <c r="N521" i="1"/>
  <c r="B144" i="1"/>
  <c r="H144" i="1"/>
  <c r="N144" i="1"/>
  <c r="B139" i="1"/>
  <c r="H139" i="1"/>
  <c r="N139" i="1"/>
  <c r="B125" i="1"/>
  <c r="H125" i="1"/>
  <c r="N125" i="1"/>
  <c r="B126" i="1"/>
  <c r="H126" i="1"/>
  <c r="N126" i="1"/>
  <c r="B127" i="1"/>
  <c r="H127" i="1"/>
  <c r="N127" i="1"/>
  <c r="B185" i="1"/>
  <c r="H185" i="1"/>
  <c r="N185" i="1"/>
  <c r="B522" i="1"/>
  <c r="H522" i="1"/>
  <c r="N522" i="1"/>
  <c r="B128" i="1"/>
  <c r="H128" i="1"/>
  <c r="N128" i="1"/>
  <c r="B186" i="1"/>
  <c r="H186" i="1"/>
  <c r="N186" i="1"/>
  <c r="B283" i="1"/>
  <c r="H283" i="1"/>
  <c r="N283" i="1"/>
  <c r="B145" i="1"/>
  <c r="H145" i="1"/>
  <c r="N145" i="1"/>
  <c r="B129" i="1"/>
  <c r="H129" i="1"/>
  <c r="N129" i="1"/>
  <c r="B146" i="1"/>
  <c r="H146" i="1"/>
  <c r="N146" i="1"/>
  <c r="B114" i="1"/>
  <c r="H114" i="1"/>
  <c r="N114" i="1"/>
  <c r="B490" i="1"/>
  <c r="H490" i="1"/>
  <c r="N490" i="1"/>
  <c r="B140" i="1"/>
  <c r="H140" i="1"/>
  <c r="N140" i="1"/>
  <c r="B130" i="1"/>
  <c r="H130" i="1"/>
  <c r="N130" i="1"/>
  <c r="B484" i="1"/>
  <c r="H484" i="1"/>
  <c r="N484" i="1"/>
  <c r="B196" i="1"/>
  <c r="H196" i="1"/>
  <c r="N196" i="1"/>
  <c r="B141" i="1"/>
  <c r="H141" i="1"/>
  <c r="N141" i="1"/>
  <c r="B147" i="1"/>
  <c r="H147" i="1"/>
  <c r="N147" i="1"/>
  <c r="B148" i="1"/>
  <c r="H148" i="1"/>
  <c r="N148" i="1"/>
  <c r="B507" i="1"/>
  <c r="H507" i="1"/>
  <c r="N507" i="1"/>
  <c r="B149" i="1"/>
  <c r="H149" i="1"/>
  <c r="N149" i="1"/>
  <c r="B131" i="1"/>
  <c r="H131" i="1"/>
  <c r="N131" i="1"/>
  <c r="B168" i="1"/>
  <c r="H168" i="1"/>
  <c r="N168" i="1"/>
  <c r="B169" i="1"/>
  <c r="H169" i="1"/>
  <c r="N169" i="1"/>
  <c r="B154" i="1"/>
  <c r="H154" i="1"/>
  <c r="N154" i="1"/>
  <c r="B155" i="1"/>
  <c r="H155" i="1"/>
  <c r="N155" i="1"/>
  <c r="B197" i="1"/>
  <c r="H197" i="1"/>
  <c r="N197" i="1"/>
  <c r="B156" i="1"/>
  <c r="H156" i="1"/>
  <c r="N156" i="1"/>
  <c r="B170" i="1"/>
  <c r="H170" i="1"/>
  <c r="N170" i="1"/>
  <c r="B198" i="1"/>
  <c r="H198" i="1"/>
  <c r="N198" i="1"/>
  <c r="B150" i="1"/>
  <c r="H150" i="1"/>
  <c r="N150" i="1"/>
  <c r="B491" i="1"/>
  <c r="H491" i="1"/>
  <c r="N491" i="1"/>
  <c r="B171" i="1"/>
  <c r="H171" i="1"/>
  <c r="N171" i="1"/>
  <c r="B508" i="1"/>
  <c r="H508" i="1"/>
  <c r="N508" i="1"/>
  <c r="B284" i="1"/>
  <c r="H284" i="1"/>
  <c r="N284" i="1"/>
  <c r="B199" i="1"/>
  <c r="H199" i="1"/>
  <c r="N199" i="1"/>
  <c r="B172" i="1"/>
  <c r="H172" i="1"/>
  <c r="N172" i="1"/>
  <c r="B151" i="1"/>
  <c r="H151" i="1"/>
  <c r="N151" i="1"/>
  <c r="B157" i="1"/>
  <c r="H157" i="1"/>
  <c r="N157" i="1"/>
  <c r="B158" i="1"/>
  <c r="H158" i="1"/>
  <c r="N158" i="1"/>
  <c r="B173" i="1"/>
  <c r="H173" i="1"/>
  <c r="N173" i="1"/>
  <c r="B159" i="1"/>
  <c r="H159" i="1"/>
  <c r="N159" i="1"/>
  <c r="B174" i="1"/>
  <c r="H174" i="1"/>
  <c r="N174" i="1"/>
  <c r="B175" i="1"/>
  <c r="H175" i="1"/>
  <c r="N175" i="1"/>
  <c r="B152" i="1"/>
  <c r="H152" i="1"/>
  <c r="N152" i="1"/>
  <c r="B160" i="1"/>
  <c r="H160" i="1"/>
  <c r="N160" i="1"/>
  <c r="B485" i="1"/>
  <c r="H485" i="1"/>
  <c r="N485" i="1"/>
  <c r="B153" i="1"/>
  <c r="H153" i="1"/>
  <c r="N153" i="1"/>
  <c r="B161" i="1"/>
  <c r="H161" i="1"/>
  <c r="N161" i="1"/>
  <c r="B162" i="1"/>
  <c r="H162" i="1"/>
  <c r="N162" i="1"/>
  <c r="B200" i="1"/>
  <c r="H200" i="1"/>
  <c r="N200" i="1"/>
  <c r="B523" i="1"/>
  <c r="H523" i="1"/>
  <c r="N523" i="1"/>
  <c r="B176" i="1"/>
  <c r="H176" i="1"/>
  <c r="N176" i="1"/>
  <c r="B201" i="1"/>
  <c r="H201" i="1"/>
  <c r="N201" i="1"/>
  <c r="B177" i="1"/>
  <c r="H177" i="1"/>
  <c r="N177" i="1"/>
  <c r="B178" i="1"/>
  <c r="H178" i="1"/>
  <c r="N178" i="1"/>
  <c r="B219" i="1"/>
  <c r="H219" i="1"/>
  <c r="N219" i="1"/>
  <c r="B179" i="1"/>
  <c r="H179" i="1"/>
  <c r="N179" i="1"/>
  <c r="B492" i="1"/>
  <c r="H492" i="1"/>
  <c r="N492" i="1"/>
  <c r="B202" i="1"/>
  <c r="H202" i="1"/>
  <c r="N202" i="1"/>
  <c r="B163" i="1"/>
  <c r="H163" i="1"/>
  <c r="N163" i="1"/>
  <c r="B164" i="1"/>
  <c r="H164" i="1"/>
  <c r="N164" i="1"/>
  <c r="B246" i="1"/>
  <c r="H246" i="1"/>
  <c r="N246" i="1"/>
  <c r="B180" i="1"/>
  <c r="H180" i="1"/>
  <c r="N180" i="1"/>
  <c r="B187" i="1"/>
  <c r="H187" i="1"/>
  <c r="N187" i="1"/>
  <c r="B220" i="1"/>
  <c r="H220" i="1"/>
  <c r="N220" i="1"/>
  <c r="B247" i="1"/>
  <c r="H247" i="1"/>
  <c r="N247" i="1"/>
  <c r="B509" i="1"/>
  <c r="H509" i="1"/>
  <c r="N509" i="1"/>
  <c r="B165" i="1"/>
  <c r="H165" i="1"/>
  <c r="N165" i="1"/>
  <c r="B181" i="1"/>
  <c r="H181" i="1"/>
  <c r="N181" i="1"/>
  <c r="B182" i="1"/>
  <c r="H182" i="1"/>
  <c r="N182" i="1"/>
  <c r="B203" i="1"/>
  <c r="H203" i="1"/>
  <c r="N203" i="1"/>
  <c r="B436" i="1"/>
  <c r="H436" i="1"/>
  <c r="N436" i="1"/>
  <c r="B327" i="1"/>
  <c r="H327" i="1"/>
  <c r="N327" i="1"/>
  <c r="B221" i="1"/>
  <c r="H221" i="1"/>
  <c r="N221" i="1"/>
  <c r="B472" i="1"/>
  <c r="H472" i="1"/>
  <c r="N472" i="1"/>
  <c r="B188" i="1"/>
  <c r="H188" i="1"/>
  <c r="N188" i="1"/>
  <c r="B189" i="1"/>
  <c r="H189" i="1"/>
  <c r="N189" i="1"/>
  <c r="B222" i="1"/>
  <c r="H222" i="1"/>
  <c r="N222" i="1"/>
  <c r="B248" i="1"/>
  <c r="H248" i="1"/>
  <c r="N248" i="1"/>
  <c r="B183" i="1"/>
  <c r="H183" i="1"/>
  <c r="N183" i="1"/>
  <c r="B204" i="1"/>
  <c r="H204" i="1"/>
  <c r="N204" i="1"/>
  <c r="B205" i="1"/>
  <c r="H205" i="1"/>
  <c r="N205" i="1"/>
  <c r="B206" i="1"/>
  <c r="H206" i="1"/>
  <c r="N206" i="1"/>
  <c r="B207" i="1"/>
  <c r="H207" i="1"/>
  <c r="N207" i="1"/>
  <c r="B249" i="1"/>
  <c r="H249" i="1"/>
  <c r="N249" i="1"/>
  <c r="B486" i="1"/>
  <c r="H486" i="1"/>
  <c r="N486" i="1"/>
  <c r="B250" i="1"/>
  <c r="H250" i="1"/>
  <c r="N250" i="1"/>
  <c r="B208" i="1"/>
  <c r="H208" i="1"/>
  <c r="N208" i="1"/>
  <c r="B223" i="1"/>
  <c r="H223" i="1"/>
  <c r="N223" i="1"/>
  <c r="B394" i="1"/>
  <c r="H394" i="1"/>
  <c r="N394" i="1"/>
  <c r="B395" i="1"/>
  <c r="H395" i="1"/>
  <c r="N395" i="1"/>
  <c r="B190" i="1"/>
  <c r="H190" i="1"/>
  <c r="N190" i="1"/>
  <c r="B524" i="1"/>
  <c r="H524" i="1"/>
  <c r="N524" i="1"/>
  <c r="B209" i="1"/>
  <c r="H209" i="1"/>
  <c r="N209" i="1"/>
  <c r="B224" i="1"/>
  <c r="H224" i="1"/>
  <c r="N224" i="1"/>
  <c r="B225" i="1"/>
  <c r="H225" i="1"/>
  <c r="N225" i="1"/>
  <c r="B226" i="1"/>
  <c r="H226" i="1"/>
  <c r="N226" i="1"/>
  <c r="B227" i="1"/>
  <c r="H227" i="1"/>
  <c r="N227" i="1"/>
  <c r="B251" i="1"/>
  <c r="H251" i="1"/>
  <c r="N251" i="1"/>
  <c r="B191" i="1"/>
  <c r="H191" i="1"/>
  <c r="N191" i="1"/>
  <c r="B525" i="1"/>
  <c r="H525" i="1"/>
  <c r="N525" i="1"/>
  <c r="B192" i="1"/>
  <c r="H192" i="1"/>
  <c r="N192" i="1"/>
  <c r="B210" i="1"/>
  <c r="H210" i="1"/>
  <c r="N210" i="1"/>
  <c r="B473" i="1"/>
  <c r="H473" i="1"/>
  <c r="N473" i="1"/>
  <c r="B184" i="1"/>
  <c r="H184" i="1"/>
  <c r="N184" i="1"/>
  <c r="B228" i="1"/>
  <c r="H228" i="1"/>
  <c r="N228" i="1"/>
  <c r="B526" i="1"/>
  <c r="H526" i="1"/>
  <c r="N526" i="1"/>
  <c r="B252" i="1"/>
  <c r="H252" i="1"/>
  <c r="N252" i="1"/>
  <c r="B193" i="1"/>
  <c r="H193" i="1"/>
  <c r="N193" i="1"/>
  <c r="B194" i="1"/>
  <c r="H194" i="1"/>
  <c r="N194" i="1"/>
  <c r="B481" i="1"/>
  <c r="H481" i="1"/>
  <c r="N481" i="1"/>
  <c r="B328" i="1"/>
  <c r="H328" i="1"/>
  <c r="N328" i="1"/>
  <c r="B229" i="1"/>
  <c r="H229" i="1"/>
  <c r="N229" i="1"/>
  <c r="B211" i="1"/>
  <c r="H211" i="1"/>
  <c r="N211" i="1"/>
  <c r="B253" i="1"/>
  <c r="H253" i="1"/>
  <c r="N253" i="1"/>
  <c r="B254" i="1"/>
  <c r="H254" i="1"/>
  <c r="N254" i="1"/>
  <c r="B396" i="1"/>
  <c r="H396" i="1"/>
  <c r="N396" i="1"/>
  <c r="B212" i="1"/>
  <c r="H212" i="1"/>
  <c r="N212" i="1"/>
  <c r="B230" i="1"/>
  <c r="H230" i="1"/>
  <c r="N230" i="1"/>
  <c r="B255" i="1"/>
  <c r="H255" i="1"/>
  <c r="N255" i="1"/>
  <c r="B510" i="1"/>
  <c r="H510" i="1"/>
  <c r="N510" i="1"/>
  <c r="B256" i="1"/>
  <c r="H256" i="1"/>
  <c r="N256" i="1"/>
  <c r="B231" i="1"/>
  <c r="H231" i="1"/>
  <c r="N231" i="1"/>
  <c r="B232" i="1"/>
  <c r="H232" i="1"/>
  <c r="N232" i="1"/>
  <c r="B195" i="1"/>
  <c r="H195" i="1"/>
  <c r="N195" i="1"/>
  <c r="B257" i="1"/>
  <c r="H257" i="1"/>
  <c r="N257" i="1"/>
  <c r="B461" i="1"/>
  <c r="H461" i="1"/>
  <c r="N461" i="1"/>
  <c r="B258" i="1"/>
  <c r="H258" i="1"/>
  <c r="N258" i="1"/>
  <c r="B259" i="1"/>
  <c r="H259" i="1"/>
  <c r="N259" i="1"/>
  <c r="B285" i="1"/>
  <c r="H285" i="1"/>
  <c r="N285" i="1"/>
  <c r="B213" i="1"/>
  <c r="H213" i="1"/>
  <c r="N213" i="1"/>
  <c r="B397" i="1"/>
  <c r="H397" i="1"/>
  <c r="N397" i="1"/>
  <c r="B233" i="1"/>
  <c r="H233" i="1"/>
  <c r="N233" i="1"/>
  <c r="B260" i="1"/>
  <c r="H260" i="1"/>
  <c r="N260" i="1"/>
  <c r="B329" i="1"/>
  <c r="H329" i="1"/>
  <c r="N329" i="1"/>
  <c r="B234" i="1"/>
  <c r="H234" i="1"/>
  <c r="N234" i="1"/>
  <c r="B330" i="1"/>
  <c r="H330" i="1"/>
  <c r="N330" i="1"/>
  <c r="B235" i="1"/>
  <c r="H235" i="1"/>
  <c r="N235" i="1"/>
  <c r="B214" i="1"/>
  <c r="H214" i="1"/>
  <c r="N214" i="1"/>
  <c r="B487" i="1"/>
  <c r="H487" i="1"/>
  <c r="N487" i="1"/>
  <c r="B286" i="1"/>
  <c r="H286" i="1"/>
  <c r="N286" i="1"/>
  <c r="B236" i="1"/>
  <c r="H236" i="1"/>
  <c r="N236" i="1"/>
  <c r="B493" i="1"/>
  <c r="H493" i="1"/>
  <c r="N493" i="1"/>
  <c r="B261" i="1"/>
  <c r="H261" i="1"/>
  <c r="N261" i="1"/>
  <c r="B287" i="1"/>
  <c r="H287" i="1"/>
  <c r="N287" i="1"/>
  <c r="B527" i="1"/>
  <c r="H527" i="1"/>
  <c r="N527" i="1"/>
  <c r="B331" i="1"/>
  <c r="H331" i="1"/>
  <c r="N331" i="1"/>
  <c r="B215" i="1"/>
  <c r="H215" i="1"/>
  <c r="N215" i="1"/>
  <c r="B437" i="1"/>
  <c r="H437" i="1"/>
  <c r="N437" i="1"/>
  <c r="B288" i="1"/>
  <c r="H288" i="1"/>
  <c r="N288" i="1"/>
  <c r="B237" i="1"/>
  <c r="H237" i="1"/>
  <c r="N237" i="1"/>
  <c r="B528" i="1"/>
  <c r="H528" i="1"/>
  <c r="N528" i="1"/>
  <c r="B511" i="1"/>
  <c r="H511" i="1"/>
  <c r="N511" i="1"/>
  <c r="B398" i="1"/>
  <c r="H398" i="1"/>
  <c r="N398" i="1"/>
  <c r="B289" i="1"/>
  <c r="H289" i="1"/>
  <c r="N289" i="1"/>
  <c r="B216" i="1"/>
  <c r="H216" i="1"/>
  <c r="N216" i="1"/>
  <c r="B332" i="1"/>
  <c r="H332" i="1"/>
  <c r="N332" i="1"/>
  <c r="B262" i="1"/>
  <c r="H262" i="1"/>
  <c r="N262" i="1"/>
  <c r="B238" i="1"/>
  <c r="H238" i="1"/>
  <c r="N238" i="1"/>
  <c r="B217" i="1"/>
  <c r="H217" i="1"/>
  <c r="N217" i="1"/>
  <c r="B218" i="1"/>
  <c r="H218" i="1"/>
  <c r="N218" i="1"/>
  <c r="B290" i="1"/>
  <c r="H290" i="1"/>
  <c r="N290" i="1"/>
  <c r="B333" i="1"/>
  <c r="H333" i="1"/>
  <c r="N333" i="1"/>
  <c r="B239" i="1"/>
  <c r="H239" i="1"/>
  <c r="N239" i="1"/>
  <c r="B334" i="1"/>
  <c r="H334" i="1"/>
  <c r="N334" i="1"/>
  <c r="B335" i="1"/>
  <c r="H335" i="1"/>
  <c r="N335" i="1"/>
  <c r="B263" i="1"/>
  <c r="H263" i="1"/>
  <c r="N263" i="1"/>
  <c r="B336" i="1"/>
  <c r="H336" i="1"/>
  <c r="N336" i="1"/>
  <c r="B462" i="1"/>
  <c r="H462" i="1"/>
  <c r="N462" i="1"/>
  <c r="B291" i="1"/>
  <c r="H291" i="1"/>
  <c r="N291" i="1"/>
  <c r="B264" i="1"/>
  <c r="H264" i="1"/>
  <c r="N264" i="1"/>
  <c r="B292" i="1"/>
  <c r="H292" i="1"/>
  <c r="N292" i="1"/>
  <c r="B293" i="1"/>
  <c r="H293" i="1"/>
  <c r="N293" i="1"/>
  <c r="B265" i="1"/>
  <c r="H265" i="1"/>
  <c r="N265" i="1"/>
  <c r="B294" i="1"/>
  <c r="H294" i="1"/>
  <c r="N294" i="1"/>
  <c r="B240" i="1"/>
  <c r="H240" i="1"/>
  <c r="N240" i="1"/>
  <c r="B266" i="1"/>
  <c r="H266" i="1"/>
  <c r="N266" i="1"/>
  <c r="B295" i="1"/>
  <c r="H295" i="1"/>
  <c r="N295" i="1"/>
  <c r="B267" i="1"/>
  <c r="H267" i="1"/>
  <c r="N267" i="1"/>
  <c r="B268" i="1"/>
  <c r="H268" i="1"/>
  <c r="N268" i="1"/>
  <c r="B269" i="1"/>
  <c r="H269" i="1"/>
  <c r="N269" i="1"/>
  <c r="B296" i="1"/>
  <c r="H296" i="1"/>
  <c r="N296" i="1"/>
  <c r="B337" i="1"/>
  <c r="H337" i="1"/>
  <c r="N337" i="1"/>
  <c r="B297" i="1"/>
  <c r="H297" i="1"/>
  <c r="N297" i="1"/>
  <c r="B338" i="1"/>
  <c r="H338" i="1"/>
  <c r="N338" i="1"/>
  <c r="B270" i="1"/>
  <c r="H270" i="1"/>
  <c r="N270" i="1"/>
  <c r="B298" i="1"/>
  <c r="H298" i="1"/>
  <c r="N298" i="1"/>
  <c r="B271" i="1"/>
  <c r="H271" i="1"/>
  <c r="N271" i="1"/>
  <c r="B299" i="1"/>
  <c r="H299" i="1"/>
  <c r="N299" i="1"/>
  <c r="B272" i="1"/>
  <c r="H272" i="1"/>
  <c r="N272" i="1"/>
  <c r="B241" i="1"/>
  <c r="H241" i="1"/>
  <c r="N241" i="1"/>
  <c r="B273" i="1"/>
  <c r="H273" i="1"/>
  <c r="N273" i="1"/>
  <c r="B339" i="1"/>
  <c r="H339" i="1"/>
  <c r="N339" i="1"/>
  <c r="B242" i="1"/>
  <c r="H242" i="1"/>
  <c r="N242" i="1"/>
  <c r="B300" i="1"/>
  <c r="H300" i="1"/>
  <c r="N300" i="1"/>
  <c r="B301" i="1"/>
  <c r="H301" i="1"/>
  <c r="N301" i="1"/>
  <c r="B243" i="1"/>
  <c r="H243" i="1"/>
  <c r="N243" i="1"/>
  <c r="B399" i="1"/>
  <c r="H399" i="1"/>
  <c r="N399" i="1"/>
  <c r="B244" i="1"/>
  <c r="H244" i="1"/>
  <c r="N244" i="1"/>
  <c r="B340" i="1"/>
  <c r="H340" i="1"/>
  <c r="N340" i="1"/>
  <c r="B400" i="1"/>
  <c r="H400" i="1"/>
  <c r="N400" i="1"/>
  <c r="B302" i="1"/>
  <c r="H302" i="1"/>
  <c r="N302" i="1"/>
  <c r="B341" i="1"/>
  <c r="H341" i="1"/>
  <c r="N341" i="1"/>
  <c r="B529" i="1"/>
  <c r="H529" i="1"/>
  <c r="N529" i="1"/>
  <c r="B512" i="1"/>
  <c r="H512" i="1"/>
  <c r="N512" i="1"/>
  <c r="B342" i="1"/>
  <c r="H342" i="1"/>
  <c r="N342" i="1"/>
  <c r="B343" i="1"/>
  <c r="H343" i="1"/>
  <c r="N343" i="1"/>
  <c r="B274" i="1"/>
  <c r="H274" i="1"/>
  <c r="N274" i="1"/>
  <c r="B401" i="1"/>
  <c r="H401" i="1"/>
  <c r="N401" i="1"/>
  <c r="B344" i="1"/>
  <c r="H344" i="1"/>
  <c r="N344" i="1"/>
  <c r="B402" i="1"/>
  <c r="H402" i="1"/>
  <c r="N402" i="1"/>
  <c r="B275" i="1"/>
  <c r="H275" i="1"/>
  <c r="N275" i="1"/>
  <c r="B303" i="1"/>
  <c r="H303" i="1"/>
  <c r="N303" i="1"/>
  <c r="B304" i="1"/>
  <c r="H304" i="1"/>
  <c r="N304" i="1"/>
  <c r="B276" i="1"/>
  <c r="H276" i="1"/>
  <c r="N276" i="1"/>
  <c r="B438" i="1"/>
  <c r="H438" i="1"/>
  <c r="N438" i="1"/>
  <c r="B277" i="1"/>
  <c r="H277" i="1"/>
  <c r="N277" i="1"/>
  <c r="B305" i="1"/>
  <c r="H305" i="1"/>
  <c r="N305" i="1"/>
  <c r="B345" i="1"/>
  <c r="H345" i="1"/>
  <c r="N345" i="1"/>
  <c r="B306" i="1"/>
  <c r="H306" i="1"/>
  <c r="N306" i="1"/>
  <c r="B513" i="1"/>
  <c r="H513" i="1"/>
  <c r="N513" i="1"/>
  <c r="B494" i="1"/>
  <c r="H494" i="1"/>
  <c r="N494" i="1"/>
  <c r="B307" i="1"/>
  <c r="H307" i="1"/>
  <c r="N307" i="1"/>
  <c r="B346" i="1"/>
  <c r="H346" i="1"/>
  <c r="N346" i="1"/>
  <c r="B347" i="1"/>
  <c r="H347" i="1"/>
  <c r="N347" i="1"/>
  <c r="B278" i="1"/>
  <c r="H278" i="1"/>
  <c r="N278" i="1"/>
  <c r="B308" i="1"/>
  <c r="H308" i="1"/>
  <c r="N308" i="1"/>
  <c r="B279" i="1"/>
  <c r="H279" i="1"/>
  <c r="N279" i="1"/>
  <c r="B348" i="1"/>
  <c r="H348" i="1"/>
  <c r="N348" i="1"/>
  <c r="B309" i="1"/>
  <c r="H309" i="1"/>
  <c r="N309" i="1"/>
  <c r="B349" i="1"/>
  <c r="H349" i="1"/>
  <c r="N349" i="1"/>
  <c r="B310" i="1"/>
  <c r="H310" i="1"/>
  <c r="N310" i="1"/>
  <c r="B280" i="1"/>
  <c r="H280" i="1"/>
  <c r="N280" i="1"/>
  <c r="B350" i="1"/>
  <c r="H350" i="1"/>
  <c r="N350" i="1"/>
  <c r="B403" i="1"/>
  <c r="H403" i="1"/>
  <c r="N403" i="1"/>
  <c r="B311" i="1"/>
  <c r="H311" i="1"/>
  <c r="N311" i="1"/>
  <c r="B312" i="1"/>
  <c r="H312" i="1"/>
  <c r="N312" i="1"/>
  <c r="B313" i="1"/>
  <c r="H313" i="1"/>
  <c r="N313" i="1"/>
  <c r="B482" i="1"/>
  <c r="H482" i="1"/>
  <c r="N482" i="1"/>
  <c r="B351" i="1"/>
  <c r="H351" i="1"/>
  <c r="N351" i="1"/>
  <c r="B474" i="1"/>
  <c r="H474" i="1"/>
  <c r="N474" i="1"/>
  <c r="B404" i="1"/>
  <c r="H404" i="1"/>
  <c r="N404" i="1"/>
  <c r="B352" i="1"/>
  <c r="H352" i="1"/>
  <c r="N352" i="1"/>
  <c r="B353" i="1"/>
  <c r="H353" i="1"/>
  <c r="N353" i="1"/>
  <c r="B314" i="1"/>
  <c r="H314" i="1"/>
  <c r="N314" i="1"/>
  <c r="B463" i="1"/>
  <c r="H463" i="1"/>
  <c r="N463" i="1"/>
  <c r="B315" i="1"/>
  <c r="H315" i="1"/>
  <c r="N315" i="1"/>
  <c r="B405" i="1"/>
  <c r="H405" i="1"/>
  <c r="N405" i="1"/>
  <c r="B316" i="1"/>
  <c r="H316" i="1"/>
  <c r="N316" i="1"/>
  <c r="B317" i="1"/>
  <c r="H317" i="1"/>
  <c r="N317" i="1"/>
  <c r="B406" i="1"/>
  <c r="H406" i="1"/>
  <c r="N406" i="1"/>
  <c r="B354" i="1"/>
  <c r="H354" i="1"/>
  <c r="N354" i="1"/>
  <c r="B355" i="1"/>
  <c r="H355" i="1"/>
  <c r="N355" i="1"/>
  <c r="B407" i="1"/>
  <c r="H407" i="1"/>
  <c r="N407" i="1"/>
  <c r="B318" i="1"/>
  <c r="H318" i="1"/>
  <c r="N318" i="1"/>
  <c r="B356" i="1"/>
  <c r="H356" i="1"/>
  <c r="N356" i="1"/>
  <c r="B357" i="1"/>
  <c r="H357" i="1"/>
  <c r="N357" i="1"/>
  <c r="B358" i="1"/>
  <c r="H358" i="1"/>
  <c r="N358" i="1"/>
  <c r="B319" i="1"/>
  <c r="H319" i="1"/>
  <c r="N319" i="1"/>
  <c r="B359" i="1"/>
  <c r="H359" i="1"/>
  <c r="N359" i="1"/>
  <c r="B439" i="1"/>
  <c r="H439" i="1"/>
  <c r="N439" i="1"/>
  <c r="B360" i="1"/>
  <c r="H360" i="1"/>
  <c r="N360" i="1"/>
  <c r="B361" i="1"/>
  <c r="H361" i="1"/>
  <c r="N361" i="1"/>
  <c r="B408" i="1"/>
  <c r="H408" i="1"/>
  <c r="N408" i="1"/>
  <c r="B409" i="1"/>
  <c r="H409" i="1"/>
  <c r="N409" i="1"/>
  <c r="B362" i="1"/>
  <c r="H362" i="1"/>
  <c r="N362" i="1"/>
  <c r="B320" i="1"/>
  <c r="H320" i="1"/>
  <c r="N320" i="1"/>
  <c r="B410" i="1"/>
  <c r="H410" i="1"/>
  <c r="N410" i="1"/>
  <c r="B411" i="1"/>
  <c r="H411" i="1"/>
  <c r="N411" i="1"/>
  <c r="B321" i="1"/>
  <c r="H321" i="1"/>
  <c r="N321" i="1"/>
  <c r="B412" i="1"/>
  <c r="H412" i="1"/>
  <c r="N412" i="1"/>
  <c r="B413" i="1"/>
  <c r="H413" i="1"/>
  <c r="N413" i="1"/>
  <c r="B322" i="1"/>
  <c r="H322" i="1"/>
  <c r="N322" i="1"/>
  <c r="B363" i="1"/>
  <c r="H363" i="1"/>
  <c r="N363" i="1"/>
  <c r="B364" i="1"/>
  <c r="H364" i="1"/>
  <c r="N364" i="1"/>
  <c r="B464" i="1"/>
  <c r="H464" i="1"/>
  <c r="N464" i="1"/>
  <c r="B365" i="1"/>
  <c r="H365" i="1"/>
  <c r="N365" i="1"/>
  <c r="B366" i="1"/>
  <c r="H366" i="1"/>
  <c r="N366" i="1"/>
  <c r="B414" i="1"/>
  <c r="H414" i="1"/>
  <c r="N414" i="1"/>
  <c r="B440" i="1"/>
  <c r="H440" i="1"/>
  <c r="N440" i="1"/>
  <c r="B415" i="1"/>
  <c r="H415" i="1"/>
  <c r="N415" i="1"/>
  <c r="B416" i="1"/>
  <c r="H416" i="1"/>
  <c r="N416" i="1"/>
  <c r="B417" i="1"/>
  <c r="H417" i="1"/>
  <c r="N417" i="1"/>
  <c r="B441" i="1"/>
  <c r="H441" i="1"/>
  <c r="N441" i="1"/>
  <c r="B465" i="1"/>
  <c r="H465" i="1"/>
  <c r="N465" i="1"/>
  <c r="B323" i="1"/>
  <c r="H323" i="1"/>
  <c r="N323" i="1"/>
  <c r="B367" i="1"/>
  <c r="H367" i="1"/>
  <c r="N367" i="1"/>
  <c r="B368" i="1"/>
  <c r="H368" i="1"/>
  <c r="N368" i="1"/>
  <c r="B324" i="1"/>
  <c r="H324" i="1"/>
  <c r="N324" i="1"/>
  <c r="B369" i="1"/>
  <c r="H369" i="1"/>
  <c r="N369" i="1"/>
  <c r="B325" i="1"/>
  <c r="H325" i="1"/>
  <c r="N325" i="1"/>
  <c r="B370" i="1"/>
  <c r="H370" i="1"/>
  <c r="N370" i="1"/>
  <c r="B371" i="1"/>
  <c r="H371" i="1"/>
  <c r="N371" i="1"/>
  <c r="B372" i="1"/>
  <c r="H372" i="1"/>
  <c r="N372" i="1"/>
  <c r="B418" i="1"/>
  <c r="H418" i="1"/>
  <c r="N418" i="1"/>
  <c r="B466" i="1"/>
  <c r="H466" i="1"/>
  <c r="N466" i="1"/>
  <c r="B419" i="1"/>
  <c r="H419" i="1"/>
  <c r="N419" i="1"/>
  <c r="B442" i="1"/>
  <c r="H442" i="1"/>
  <c r="N442" i="1"/>
  <c r="B443" i="1"/>
  <c r="H443" i="1"/>
  <c r="N443" i="1"/>
  <c r="B530" i="1"/>
  <c r="H530" i="1"/>
  <c r="N530" i="1"/>
  <c r="B420" i="1"/>
  <c r="H420" i="1"/>
  <c r="N420" i="1"/>
  <c r="B531" i="1"/>
  <c r="H531" i="1"/>
  <c r="N531" i="1"/>
  <c r="B444" i="1"/>
  <c r="H444" i="1"/>
  <c r="N444" i="1"/>
  <c r="B467" i="1"/>
  <c r="H467" i="1"/>
  <c r="N467" i="1"/>
  <c r="B373" i="1"/>
  <c r="H373" i="1"/>
  <c r="N373" i="1"/>
  <c r="B374" i="1"/>
  <c r="H374" i="1"/>
  <c r="N374" i="1"/>
  <c r="B468" i="1"/>
  <c r="H468" i="1"/>
  <c r="N468" i="1"/>
  <c r="B445" i="1"/>
  <c r="H445" i="1"/>
  <c r="N445" i="1"/>
  <c r="B475" i="1"/>
  <c r="H475" i="1"/>
  <c r="N475" i="1"/>
  <c r="B421" i="1"/>
  <c r="H421" i="1"/>
  <c r="N421" i="1"/>
  <c r="B422" i="1"/>
  <c r="H422" i="1"/>
  <c r="N422" i="1"/>
  <c r="B423" i="1"/>
  <c r="H423" i="1"/>
  <c r="N423" i="1"/>
  <c r="B446" i="1"/>
  <c r="H446" i="1"/>
  <c r="N446" i="1"/>
  <c r="B375" i="1"/>
  <c r="H375" i="1"/>
  <c r="N375" i="1"/>
  <c r="B532" i="1"/>
  <c r="H532" i="1"/>
  <c r="N532" i="1"/>
  <c r="B376" i="1"/>
  <c r="H376" i="1"/>
  <c r="N376" i="1"/>
  <c r="B495" i="1"/>
  <c r="H495" i="1"/>
  <c r="N495" i="1"/>
  <c r="B447" i="1"/>
  <c r="H447" i="1"/>
  <c r="N447" i="1"/>
  <c r="B476" i="1"/>
  <c r="H476" i="1"/>
  <c r="N476" i="1"/>
  <c r="B377" i="1"/>
  <c r="H377" i="1"/>
  <c r="N377" i="1"/>
  <c r="B424" i="1"/>
  <c r="H424" i="1"/>
  <c r="N424" i="1"/>
  <c r="B425" i="1"/>
  <c r="H425" i="1"/>
  <c r="N425" i="1"/>
  <c r="B448" i="1"/>
  <c r="H448" i="1"/>
  <c r="N448" i="1"/>
  <c r="B449" i="1"/>
  <c r="H449" i="1"/>
  <c r="N449" i="1"/>
  <c r="B450" i="1"/>
  <c r="H450" i="1"/>
  <c r="N450" i="1"/>
  <c r="B378" i="1"/>
  <c r="H378" i="1"/>
  <c r="N378" i="1"/>
  <c r="B533" i="1"/>
  <c r="H533" i="1"/>
  <c r="N533" i="1"/>
  <c r="B451" i="1"/>
  <c r="H451" i="1"/>
  <c r="N451" i="1"/>
  <c r="B379" i="1"/>
  <c r="H379" i="1"/>
  <c r="N379" i="1"/>
  <c r="B477" i="1"/>
  <c r="H477" i="1"/>
  <c r="N477" i="1"/>
  <c r="B469" i="1"/>
  <c r="H469" i="1"/>
  <c r="N469" i="1"/>
  <c r="B426" i="1"/>
  <c r="H426" i="1"/>
  <c r="N426" i="1"/>
  <c r="B380" i="1"/>
  <c r="H380" i="1"/>
  <c r="N380" i="1"/>
  <c r="B381" i="1"/>
  <c r="H381" i="1"/>
  <c r="N381" i="1"/>
  <c r="B427" i="1"/>
  <c r="H427" i="1"/>
  <c r="N427" i="1"/>
  <c r="B428" i="1"/>
  <c r="H428" i="1"/>
  <c r="N428" i="1"/>
  <c r="B429" i="1"/>
  <c r="H429" i="1"/>
  <c r="N429" i="1"/>
  <c r="B382" i="1"/>
  <c r="H382" i="1"/>
  <c r="N382" i="1"/>
  <c r="B383" i="1"/>
  <c r="H383" i="1"/>
  <c r="N383" i="1"/>
  <c r="B384" i="1"/>
  <c r="H384" i="1"/>
  <c r="N384" i="1"/>
  <c r="B452" i="1"/>
  <c r="H452" i="1"/>
  <c r="N452" i="1"/>
  <c r="B453" i="1"/>
  <c r="H453" i="1"/>
  <c r="N453" i="1"/>
  <c r="B496" i="1"/>
  <c r="H496" i="1"/>
  <c r="N496" i="1"/>
  <c r="B430" i="1"/>
  <c r="H430" i="1"/>
  <c r="N430" i="1"/>
  <c r="B431" i="1"/>
  <c r="H431" i="1"/>
  <c r="N431" i="1"/>
  <c r="B432" i="1"/>
  <c r="H432" i="1"/>
  <c r="N432" i="1"/>
  <c r="B385" i="1"/>
  <c r="H385" i="1"/>
  <c r="N385" i="1"/>
  <c r="B454" i="1"/>
  <c r="H454" i="1"/>
  <c r="N454" i="1"/>
  <c r="B386" i="1"/>
  <c r="H386" i="1"/>
  <c r="N386" i="1"/>
  <c r="B470" i="1"/>
  <c r="H470" i="1"/>
  <c r="N470" i="1"/>
  <c r="B433" i="1"/>
  <c r="H433" i="1"/>
  <c r="N433" i="1"/>
  <c r="B455" i="1"/>
  <c r="H455" i="1"/>
  <c r="N455" i="1"/>
  <c r="B456" i="1"/>
  <c r="H456" i="1"/>
  <c r="N456" i="1"/>
  <c r="B434" i="1"/>
  <c r="H434" i="1"/>
  <c r="N434" i="1"/>
  <c r="B534" i="1"/>
  <c r="H534" i="1"/>
  <c r="N534" i="1"/>
  <c r="B387" i="1"/>
  <c r="H387" i="1"/>
  <c r="N387" i="1"/>
  <c r="B497" i="1"/>
  <c r="H497" i="1"/>
  <c r="N497" i="1"/>
  <c r="B388" i="1"/>
  <c r="H388" i="1"/>
  <c r="N388" i="1"/>
  <c r="B457" i="1"/>
  <c r="H457" i="1"/>
  <c r="N457" i="1"/>
  <c r="B435" i="1"/>
  <c r="H435" i="1"/>
  <c r="N435" i="1"/>
  <c r="B458" i="1"/>
  <c r="H458" i="1"/>
  <c r="N458" i="1"/>
  <c r="B389" i="1"/>
  <c r="H389" i="1"/>
  <c r="N389" i="1"/>
  <c r="B390" i="1"/>
  <c r="H390" i="1"/>
  <c r="N390" i="1"/>
  <c r="B459" i="1"/>
  <c r="H459" i="1"/>
  <c r="N459" i="1"/>
  <c r="B460" i="1"/>
  <c r="H460" i="1"/>
  <c r="N460" i="1"/>
  <c r="B391" i="1"/>
  <c r="H391" i="1"/>
  <c r="N391" i="1"/>
  <c r="B392" i="1"/>
  <c r="H392" i="1"/>
  <c r="N392" i="1"/>
</calcChain>
</file>

<file path=xl/sharedStrings.xml><?xml version="1.0" encoding="utf-8"?>
<sst xmlns="http://schemas.openxmlformats.org/spreadsheetml/2006/main" count="9803" uniqueCount="3299">
  <si>
    <t>店舗別販売データ</t>
  </si>
  <si>
    <t>ジャンル：</t>
  </si>
  <si>
    <t>選択出版社：</t>
  </si>
  <si>
    <t>全出版社</t>
  </si>
  <si>
    <t>選択店舗数：</t>
  </si>
  <si>
    <t>期間：</t>
  </si>
  <si>
    <t>2023-01 ～ 2023-01</t>
  </si>
  <si>
    <t>商品コード</t>
  </si>
  <si>
    <t>ISBNコード（10桁）</t>
  </si>
  <si>
    <t>書名（漢字）</t>
  </si>
  <si>
    <t>著者名１（漢字）</t>
  </si>
  <si>
    <t>叢書名巻次（漢字）</t>
  </si>
  <si>
    <t>多巻物書名（漢字）</t>
  </si>
  <si>
    <t>出版社（漢字）</t>
  </si>
  <si>
    <t>Ｃ分類</t>
  </si>
  <si>
    <t>Ｃ分類販売対象</t>
  </si>
  <si>
    <t>Ｃ分類発行形態</t>
  </si>
  <si>
    <t>Ｃ分類内容</t>
  </si>
  <si>
    <t>出版年月</t>
  </si>
  <si>
    <t>本体価格</t>
  </si>
  <si>
    <t>ＮＤＣ分類</t>
  </si>
  <si>
    <t>生協定番</t>
  </si>
  <si>
    <t>全店売上数</t>
  </si>
  <si>
    <t>販売店舗数</t>
  </si>
  <si>
    <t>選択店舗売上数</t>
  </si>
  <si>
    <t>選択販売店舗数</t>
  </si>
  <si>
    <t>北海道事業連</t>
  </si>
  <si>
    <t>北大生協クラーク店</t>
  </si>
  <si>
    <t>北大生協北部店</t>
  </si>
  <si>
    <t>北大外売</t>
  </si>
  <si>
    <t>北大水産</t>
  </si>
  <si>
    <t>北海学園書籍サービス店</t>
  </si>
  <si>
    <t>北海工学部店</t>
  </si>
  <si>
    <t>北星学園生協</t>
  </si>
  <si>
    <t>北教大生協札幌店</t>
  </si>
  <si>
    <t>札幌大学書籍購買部</t>
  </si>
  <si>
    <t>北教大生協旭川店</t>
  </si>
  <si>
    <t>旭川大SB店</t>
  </si>
  <si>
    <t>酪農学園生協</t>
  </si>
  <si>
    <t>札幌学院大生協</t>
  </si>
  <si>
    <t>北教大生協岩見沢店</t>
  </si>
  <si>
    <t>小樽商科大生協</t>
  </si>
  <si>
    <t>北教大生協釧路店</t>
  </si>
  <si>
    <t>帯広畜産大生協</t>
  </si>
  <si>
    <t>北見工業大生協</t>
  </si>
  <si>
    <t>釧路公立大生協</t>
  </si>
  <si>
    <t>室蘭工大生協</t>
  </si>
  <si>
    <t>北教大生協函館店</t>
  </si>
  <si>
    <t>はこだて未来大学生協</t>
  </si>
  <si>
    <t>東北事業連合</t>
  </si>
  <si>
    <t>みやぎインターカレッジコープ</t>
  </si>
  <si>
    <t>【停止】みやぎインカレ白百合</t>
  </si>
  <si>
    <t>みやぎインカレ東北文化</t>
  </si>
  <si>
    <t>みやぎインカレ広瀬</t>
  </si>
  <si>
    <t>みやぎインカレ名取</t>
  </si>
  <si>
    <t>聖和学園短期大学店</t>
  </si>
  <si>
    <t>弘前大シェリア</t>
  </si>
  <si>
    <t>弘前大医学</t>
  </si>
  <si>
    <t>弘前大サリジェ</t>
  </si>
  <si>
    <t>弘前大クローバー</t>
  </si>
  <si>
    <t>弘前大学スコーラム</t>
  </si>
  <si>
    <t>弘前学院</t>
  </si>
  <si>
    <t>岩手大中央</t>
  </si>
  <si>
    <t>盛岡大学</t>
  </si>
  <si>
    <t>岩手県立大学生協</t>
  </si>
  <si>
    <t>秋田大手形</t>
  </si>
  <si>
    <t>秋田大本道</t>
  </si>
  <si>
    <t>山形大小白川</t>
  </si>
  <si>
    <t>山形大飯田</t>
  </si>
  <si>
    <t>山形大米沢</t>
  </si>
  <si>
    <t>山形大鶴岡</t>
  </si>
  <si>
    <t>山形コンビニ</t>
  </si>
  <si>
    <t>東北大文系</t>
  </si>
  <si>
    <t>東北大川内</t>
  </si>
  <si>
    <t>東北大工学部</t>
  </si>
  <si>
    <t>東北大理薬店</t>
  </si>
  <si>
    <t>東北大さくらショップ（片平）</t>
  </si>
  <si>
    <t>東北大みどりショップ</t>
  </si>
  <si>
    <t>東北大星陵</t>
  </si>
  <si>
    <t>東北学院土樋</t>
  </si>
  <si>
    <t>東北学院泉</t>
  </si>
  <si>
    <t>東北学院多賀</t>
  </si>
  <si>
    <t>東北工大八木山</t>
  </si>
  <si>
    <t>東北工大長町</t>
  </si>
  <si>
    <t>宮城大太白</t>
  </si>
  <si>
    <t>宮城大大和</t>
  </si>
  <si>
    <t>宮城教育大</t>
  </si>
  <si>
    <t>宮城学院</t>
  </si>
  <si>
    <t>宮城学院中高</t>
  </si>
  <si>
    <t>尚絅学院</t>
  </si>
  <si>
    <t>福島大購買書籍店</t>
  </si>
  <si>
    <t>福島大購買店</t>
  </si>
  <si>
    <t>東京事業連合</t>
  </si>
  <si>
    <t>東京インカレ</t>
  </si>
  <si>
    <t>東大本郷</t>
  </si>
  <si>
    <t>東大生協駒場書籍部</t>
  </si>
  <si>
    <t>東大農学部</t>
  </si>
  <si>
    <t>東大柏</t>
  </si>
  <si>
    <t>東大天文台</t>
  </si>
  <si>
    <t>東大医科研</t>
  </si>
  <si>
    <t>東大駒場ﾘｻｰﾁｷｬﾝﾊﾟｽ</t>
  </si>
  <si>
    <t>東大浅野</t>
  </si>
  <si>
    <t>東大生協赤門店</t>
  </si>
  <si>
    <t>早大生協ブックセンター</t>
  </si>
  <si>
    <t>早稲田生協理工店</t>
  </si>
  <si>
    <t>早大生協戸山店</t>
  </si>
  <si>
    <t>早稲田生協所沢店</t>
  </si>
  <si>
    <t>【廃止】早大コープ７</t>
  </si>
  <si>
    <t>【閉店】早大図書館店</t>
  </si>
  <si>
    <t>早稲田中高食堂</t>
  </si>
  <si>
    <t>法政市ヶ谷</t>
  </si>
  <si>
    <t>法政生協小金井SB</t>
  </si>
  <si>
    <t>法政大生協多摩店</t>
  </si>
  <si>
    <t>法政大生協市ヶ谷田町</t>
  </si>
  <si>
    <t>慶應生協日吉店</t>
  </si>
  <si>
    <t>慶應生協三田店</t>
  </si>
  <si>
    <t>慶應信濃町</t>
  </si>
  <si>
    <t>慶應生協矢上店</t>
  </si>
  <si>
    <t>慶應生協藤沢店</t>
  </si>
  <si>
    <t>慶応看護医療</t>
  </si>
  <si>
    <t>慶應芝共立BS</t>
  </si>
  <si>
    <t>慶応日吉教科書センター</t>
  </si>
  <si>
    <t>東京理科大生協神楽坂</t>
  </si>
  <si>
    <t>【閉店】東京理科大久喜</t>
  </si>
  <si>
    <t>東京理科大生協野田店</t>
  </si>
  <si>
    <t>東京理科大葛飾</t>
  </si>
  <si>
    <t>【閉店】工学院新宿</t>
  </si>
  <si>
    <t>工学院生協八王子店</t>
  </si>
  <si>
    <t>東京電機大千住</t>
  </si>
  <si>
    <t>【閉店】東京電機千葉</t>
  </si>
  <si>
    <t>東京海洋大</t>
  </si>
  <si>
    <t>海洋大越中島SB</t>
  </si>
  <si>
    <t>東京農業大</t>
  </si>
  <si>
    <t>東京農大厚木購買部</t>
  </si>
  <si>
    <t>東京農大オホーツク</t>
  </si>
  <si>
    <t>芝浦工大豊洲</t>
  </si>
  <si>
    <t>芝浦工大大宮</t>
  </si>
  <si>
    <t>千葉大BC</t>
  </si>
  <si>
    <t>千葉大園芸</t>
  </si>
  <si>
    <t>千葉大亥鼻</t>
  </si>
  <si>
    <t>千葉商科大</t>
  </si>
  <si>
    <t>東邦大習志野</t>
  </si>
  <si>
    <t>東工大大岡山</t>
  </si>
  <si>
    <t>東工大すずかけ台</t>
  </si>
  <si>
    <t>明治学院白金</t>
  </si>
  <si>
    <t>明治学院横浜</t>
  </si>
  <si>
    <t>東京都立大学生協南大沢</t>
  </si>
  <si>
    <t>東京都立大学生協日野</t>
  </si>
  <si>
    <t>東京都立大学生協荒川</t>
  </si>
  <si>
    <t>東京都立大学生協高専品川</t>
  </si>
  <si>
    <t>東京都立大学生協高専荒川</t>
  </si>
  <si>
    <t>和光学園生協</t>
  </si>
  <si>
    <t>桜美林学園生協</t>
  </si>
  <si>
    <t>昭和大長津田店</t>
  </si>
  <si>
    <t>星薬科大生協</t>
  </si>
  <si>
    <t>日赤看護</t>
  </si>
  <si>
    <t>麻布大学生協</t>
  </si>
  <si>
    <t>宇宙科学研</t>
  </si>
  <si>
    <t>横国大生協会館店</t>
  </si>
  <si>
    <t>横国大生協理工学部店</t>
  </si>
  <si>
    <t>横市生協本部店</t>
  </si>
  <si>
    <t>横市福浦店</t>
  </si>
  <si>
    <t>神奈川大学</t>
  </si>
  <si>
    <t>東京工芸大</t>
  </si>
  <si>
    <t>東京工芸中野</t>
  </si>
  <si>
    <t>お茶の水女子</t>
  </si>
  <si>
    <t>東京医歯大書籍購買部</t>
  </si>
  <si>
    <t>東京医科歯科大教養店</t>
  </si>
  <si>
    <t>東京外語大生協</t>
  </si>
  <si>
    <t>武蔵学園生協</t>
  </si>
  <si>
    <t>日本女子大生協ＳＢ店</t>
  </si>
  <si>
    <t>【閉店】日本女子大西生田店</t>
  </si>
  <si>
    <t>東洋大白山</t>
  </si>
  <si>
    <t>【閉店】東洋大朝霞</t>
  </si>
  <si>
    <t>東洋大生協川越</t>
  </si>
  <si>
    <t>東洋大生協赤羽台SB</t>
  </si>
  <si>
    <t>東京芸大上野</t>
  </si>
  <si>
    <t>大東大東松山</t>
  </si>
  <si>
    <t>大東大板橋</t>
  </si>
  <si>
    <t>埼玉大学</t>
  </si>
  <si>
    <t>跡見学園新座</t>
  </si>
  <si>
    <t>跡見学園文京</t>
  </si>
  <si>
    <t>十文字学園生協</t>
  </si>
  <si>
    <t>淑徳みずほ台生協</t>
  </si>
  <si>
    <t>東経大生協</t>
  </si>
  <si>
    <t>【閉店】東経大ＳＢ１</t>
  </si>
  <si>
    <t>一橋大生協西SB店</t>
  </si>
  <si>
    <t>【閉店】一橋東SB</t>
  </si>
  <si>
    <t>東京学芸大</t>
  </si>
  <si>
    <t>電気通信大生協</t>
  </si>
  <si>
    <t>農工大生協農学部店</t>
  </si>
  <si>
    <t>農工大生協工学部店</t>
  </si>
  <si>
    <t>津田塾大学</t>
  </si>
  <si>
    <t>東京薬科大</t>
  </si>
  <si>
    <t>白梅学園</t>
  </si>
  <si>
    <t>日本社会事業</t>
  </si>
  <si>
    <t>日獣医大生協</t>
  </si>
  <si>
    <t>明治薬科大</t>
  </si>
  <si>
    <t>東京高専</t>
  </si>
  <si>
    <t>新潟大学生協書籍部</t>
  </si>
  <si>
    <t>新潟大旭町店</t>
  </si>
  <si>
    <t>新潟大生協池原店</t>
  </si>
  <si>
    <t>新潟県立大学生活協同組合</t>
  </si>
  <si>
    <t>新潟青陵大</t>
  </si>
  <si>
    <t>信州大松本SB</t>
  </si>
  <si>
    <t>信州大農学部</t>
  </si>
  <si>
    <t>信州大繊維</t>
  </si>
  <si>
    <t>信州大工学部</t>
  </si>
  <si>
    <t>信州大教育</t>
  </si>
  <si>
    <t>信大松本旭</t>
  </si>
  <si>
    <t>長野大学</t>
  </si>
  <si>
    <t>長野県立大</t>
  </si>
  <si>
    <t>長野看護大学</t>
  </si>
  <si>
    <t>松本大学</t>
  </si>
  <si>
    <t>清泉女学院</t>
  </si>
  <si>
    <t>山梨大学</t>
  </si>
  <si>
    <t>山梨大医学部</t>
  </si>
  <si>
    <t>山梨県立大飯田</t>
  </si>
  <si>
    <t>山梨県立大池田</t>
  </si>
  <si>
    <t>群馬大生協荒牧店</t>
  </si>
  <si>
    <t>群馬大昭和</t>
  </si>
  <si>
    <t>群馬大桐生</t>
  </si>
  <si>
    <t>高崎経済大</t>
  </si>
  <si>
    <t>太田情報</t>
  </si>
  <si>
    <t>前橋工科大学生協</t>
  </si>
  <si>
    <t>足利大学</t>
  </si>
  <si>
    <t>足利大短大</t>
  </si>
  <si>
    <t>宇都宮大学生協峰店</t>
  </si>
  <si>
    <t>宇都宮大陽東店</t>
  </si>
  <si>
    <t>茨城大水戸</t>
  </si>
  <si>
    <t>茨城大日立</t>
  </si>
  <si>
    <t>茨城大阿見</t>
  </si>
  <si>
    <t>茨城キリスト教学園</t>
  </si>
  <si>
    <t>東海事業連合</t>
  </si>
  <si>
    <t>【閉店】インカレ愛知東邦大学</t>
  </si>
  <si>
    <t>【閉店】インカレ愛知江南</t>
  </si>
  <si>
    <t>インカレ愛知南山大学前</t>
  </si>
  <si>
    <t>名大南部</t>
  </si>
  <si>
    <t>名大北部ブックスフロンテ</t>
  </si>
  <si>
    <t>名大医学部</t>
  </si>
  <si>
    <t>名大大幸</t>
  </si>
  <si>
    <t>名工大</t>
  </si>
  <si>
    <t>名工大生協はじっこ</t>
  </si>
  <si>
    <t>名市大田辺</t>
  </si>
  <si>
    <t>名市大滝子（山の畑）</t>
  </si>
  <si>
    <t>名市大桜山購買（医学部）</t>
  </si>
  <si>
    <t>愛知県大購買書籍</t>
  </si>
  <si>
    <t>愛知県大看護店</t>
  </si>
  <si>
    <t>中京大リーブル</t>
  </si>
  <si>
    <t>中京大ドゥ</t>
  </si>
  <si>
    <t>名城大生協天白</t>
  </si>
  <si>
    <t>名城大薬学（八事）</t>
  </si>
  <si>
    <t>金城学院</t>
  </si>
  <si>
    <t>愛大トリニテ</t>
  </si>
  <si>
    <t>愛知大Ｗｉｚ笹島店</t>
  </si>
  <si>
    <t>愛大車道</t>
  </si>
  <si>
    <t>愛知教育大</t>
  </si>
  <si>
    <t>日本福祉大美浜</t>
  </si>
  <si>
    <t>日福大半田</t>
  </si>
  <si>
    <t>日本福祉大東海ショップ</t>
  </si>
  <si>
    <t>岡機構</t>
  </si>
  <si>
    <t>愛知県芸大店</t>
  </si>
  <si>
    <t>静岡大静岡</t>
  </si>
  <si>
    <t>静岡大浜松</t>
  </si>
  <si>
    <t>岐阜大中央</t>
  </si>
  <si>
    <t>岐阜大医学部</t>
  </si>
  <si>
    <t>岐阜市立女子</t>
  </si>
  <si>
    <t>三重大翠陵</t>
  </si>
  <si>
    <t>三重大第二</t>
  </si>
  <si>
    <t>三重短期大</t>
  </si>
  <si>
    <t>三重県立看護</t>
  </si>
  <si>
    <t>静岡文芸大生協購買</t>
  </si>
  <si>
    <t>日赤豊田看護大生協購買</t>
  </si>
  <si>
    <t>京都事業連合</t>
  </si>
  <si>
    <t>京大ルネ</t>
  </si>
  <si>
    <t>京大吉田</t>
  </si>
  <si>
    <t>京大北部</t>
  </si>
  <si>
    <t>京大南部</t>
  </si>
  <si>
    <t>京大宇治</t>
  </si>
  <si>
    <t>京大中央購買</t>
  </si>
  <si>
    <t>京大桂ショップ</t>
  </si>
  <si>
    <t>同志社生協良心館</t>
  </si>
  <si>
    <t>同志社生協京田辺</t>
  </si>
  <si>
    <t>同志社生協女子今出川</t>
  </si>
  <si>
    <t>同志社生協女子京田辺</t>
  </si>
  <si>
    <t>立命館生協ふらっと</t>
  </si>
  <si>
    <t>立命リンク</t>
  </si>
  <si>
    <t>立命宇治高</t>
  </si>
  <si>
    <t>立命中高</t>
  </si>
  <si>
    <t>立命館朱雀</t>
  </si>
  <si>
    <t>立命守山</t>
  </si>
  <si>
    <t>立命OIC</t>
  </si>
  <si>
    <t>京都府医大</t>
  </si>
  <si>
    <t>京都府立下鴨</t>
  </si>
  <si>
    <t>府医大病院</t>
  </si>
  <si>
    <t>京都府立医科大看COOP</t>
  </si>
  <si>
    <t>龍谷R-UNI</t>
  </si>
  <si>
    <t>龍谷大宮</t>
  </si>
  <si>
    <t>龍谷瀬田</t>
  </si>
  <si>
    <t>京都教育大</t>
  </si>
  <si>
    <t>京都工繊大</t>
  </si>
  <si>
    <t>京都橘生協</t>
  </si>
  <si>
    <t>京都府庁生協</t>
  </si>
  <si>
    <t>【解散】池坊学園</t>
  </si>
  <si>
    <t>京都経済短期</t>
  </si>
  <si>
    <t>奈良女子大</t>
  </si>
  <si>
    <t>奈良教育大</t>
  </si>
  <si>
    <t>奈良県立大</t>
  </si>
  <si>
    <t>奈良工業高専</t>
  </si>
  <si>
    <t>大阪樟蔭関屋</t>
  </si>
  <si>
    <t>大阪樟蔭小阪</t>
  </si>
  <si>
    <t>滋賀県立大</t>
  </si>
  <si>
    <t>滋賀大彦根</t>
  </si>
  <si>
    <t>滋賀大大津</t>
  </si>
  <si>
    <t>滋賀医大生協</t>
  </si>
  <si>
    <t>北陸事業連合</t>
  </si>
  <si>
    <t>富山大五福（本店購買）</t>
  </si>
  <si>
    <t>富山大工学部</t>
  </si>
  <si>
    <t>富山大高岡</t>
  </si>
  <si>
    <t>富山大杉谷</t>
  </si>
  <si>
    <t>富山県立大</t>
  </si>
  <si>
    <t>富県看護購買</t>
  </si>
  <si>
    <t>富山高専射水</t>
  </si>
  <si>
    <t>富山高専本郷</t>
  </si>
  <si>
    <t>金沢大医薬</t>
  </si>
  <si>
    <t>金沢大保健</t>
  </si>
  <si>
    <t>金沢大角間</t>
  </si>
  <si>
    <t>金沢大自然研</t>
  </si>
  <si>
    <t>金沢大角間外商</t>
  </si>
  <si>
    <t>石川工業高専</t>
  </si>
  <si>
    <t>福井大生協</t>
  </si>
  <si>
    <t>大阪事業連合</t>
  </si>
  <si>
    <t>大阪インカレ</t>
  </si>
  <si>
    <t>大阪経済大</t>
  </si>
  <si>
    <t>大阪教育天王</t>
  </si>
  <si>
    <t>大阪教育柏原</t>
  </si>
  <si>
    <t>大阪公立大杉本シェリー</t>
  </si>
  <si>
    <t>大阪公立大医学</t>
  </si>
  <si>
    <t>近畿大学</t>
  </si>
  <si>
    <t>大阪公立大中百舌鳥</t>
  </si>
  <si>
    <t>【閉店】大阪公立大大仙</t>
  </si>
  <si>
    <t>大阪公立大りんくう</t>
  </si>
  <si>
    <t>阪南大学</t>
  </si>
  <si>
    <t>大阪大豊中</t>
  </si>
  <si>
    <t>大阪大研究室SG（旧工学部）</t>
  </si>
  <si>
    <t>【書籍取扱終了】大阪大歯学部</t>
  </si>
  <si>
    <t>大阪大本部前</t>
  </si>
  <si>
    <t>【閉店中】大阪大医学部</t>
  </si>
  <si>
    <t>大阪大箕面</t>
  </si>
  <si>
    <t>大阪電通四條畷</t>
  </si>
  <si>
    <t>大阪電通寝屋川</t>
  </si>
  <si>
    <t>大阪千代田</t>
  </si>
  <si>
    <t>千里金蘭生協</t>
  </si>
  <si>
    <t>和歌山大学</t>
  </si>
  <si>
    <t>和歌山県立医大</t>
  </si>
  <si>
    <t>和医大三葛</t>
  </si>
  <si>
    <t>和医大生協伏虎キャンパス店</t>
  </si>
  <si>
    <t>神戸事業連合</t>
  </si>
  <si>
    <t>神戸大学館</t>
  </si>
  <si>
    <t>神戸大医学</t>
  </si>
  <si>
    <t>神戸大六甲（ＢＥＬＢＯＸ）</t>
  </si>
  <si>
    <t>神戸大発達</t>
  </si>
  <si>
    <t>神戸大ランス</t>
  </si>
  <si>
    <t>神戸大保健</t>
  </si>
  <si>
    <t>神戸大海事科学</t>
  </si>
  <si>
    <t>神戸大付属</t>
  </si>
  <si>
    <t>神戸市外語大</t>
  </si>
  <si>
    <t>神戸市外大看護</t>
  </si>
  <si>
    <t>甲南大学Books&amp;Support</t>
  </si>
  <si>
    <t>甲南大西宮CUBE</t>
  </si>
  <si>
    <t>甲南大生協　ココショップ</t>
  </si>
  <si>
    <t>甲南大生協　甲南パンセ</t>
  </si>
  <si>
    <t>甲南大学　BOOKSTORE　KONAN</t>
  </si>
  <si>
    <t>神戸薬科大</t>
  </si>
  <si>
    <t>神戸親和女子</t>
  </si>
  <si>
    <t>甲南女子大</t>
  </si>
  <si>
    <t>神戸市立高専</t>
  </si>
  <si>
    <t>関西学院フォーラム</t>
  </si>
  <si>
    <t>関西学院三田</t>
  </si>
  <si>
    <t>関西学院大聖和キャンパス</t>
  </si>
  <si>
    <t>関西学院大生協教科書</t>
  </si>
  <si>
    <t>兵庫県立姫路工学店</t>
  </si>
  <si>
    <t>兵庫県立播磨理学店</t>
  </si>
  <si>
    <t>兵庫県立姫路環境人間店</t>
  </si>
  <si>
    <t>兵庫県立神戸商科店</t>
  </si>
  <si>
    <t>兵庫県立付属高校</t>
  </si>
  <si>
    <t>大手前西宮</t>
  </si>
  <si>
    <t>大手前伊丹</t>
  </si>
  <si>
    <t>園田学園</t>
  </si>
  <si>
    <t>中四事業連合</t>
  </si>
  <si>
    <t>岡山大ブックストア</t>
  </si>
  <si>
    <t>岡山大コジカ</t>
  </si>
  <si>
    <t>就実生協ブックストア</t>
  </si>
  <si>
    <t>広島大千田</t>
  </si>
  <si>
    <t>広島大霞</t>
  </si>
  <si>
    <t>広島大教科書</t>
  </si>
  <si>
    <t>【閉店】広島大西２</t>
  </si>
  <si>
    <t>広島大北１</t>
  </si>
  <si>
    <t>広島大会館コープ</t>
  </si>
  <si>
    <t>広島大外販</t>
  </si>
  <si>
    <t>広島修道大</t>
  </si>
  <si>
    <t>福山市立大生協SB店</t>
  </si>
  <si>
    <t>下関市立大</t>
  </si>
  <si>
    <t>山口大工学</t>
  </si>
  <si>
    <t>山口大医心館</t>
  </si>
  <si>
    <t>山口大FAVO</t>
  </si>
  <si>
    <t>水産大学校</t>
  </si>
  <si>
    <t>山口県立大学生協</t>
  </si>
  <si>
    <t>梅光女学院</t>
  </si>
  <si>
    <t>鳥取大学</t>
  </si>
  <si>
    <t>鳥取大医学部</t>
  </si>
  <si>
    <t>島根大学</t>
  </si>
  <si>
    <t>島根大医学部ショップ</t>
  </si>
  <si>
    <t>香川大学館</t>
  </si>
  <si>
    <t>香川大学農学</t>
  </si>
  <si>
    <t>香川大学工学</t>
  </si>
  <si>
    <t>四国学院</t>
  </si>
  <si>
    <t>松山大学</t>
  </si>
  <si>
    <t>愛媛大学城北</t>
  </si>
  <si>
    <t>愛媛大学農学</t>
  </si>
  <si>
    <t>愛媛大医学部</t>
  </si>
  <si>
    <t>松山東雲大</t>
  </si>
  <si>
    <t>徳島大常三島</t>
  </si>
  <si>
    <t>徳島大蔵本</t>
  </si>
  <si>
    <t>高知大朝倉</t>
  </si>
  <si>
    <t>高知大農学</t>
  </si>
  <si>
    <t>高知県永国寺</t>
  </si>
  <si>
    <t>高知県池</t>
  </si>
  <si>
    <t>九州事業連合</t>
  </si>
  <si>
    <t>福岡女子大</t>
  </si>
  <si>
    <t>福岡教育大</t>
  </si>
  <si>
    <t>九州工大生協戸畑店</t>
  </si>
  <si>
    <t>九州工大飯塚</t>
  </si>
  <si>
    <t>北九州市立大学生協</t>
  </si>
  <si>
    <t>北九大ひびきの</t>
  </si>
  <si>
    <t>九大中央図書館（旧文系）</t>
  </si>
  <si>
    <t>九州大医系</t>
  </si>
  <si>
    <t>九大皎皎舎</t>
  </si>
  <si>
    <t>九大大橋店</t>
  </si>
  <si>
    <t>九大筑紫店</t>
  </si>
  <si>
    <t>九大伊都店</t>
  </si>
  <si>
    <t>九大ウエスト５</t>
  </si>
  <si>
    <t>九大イースト１</t>
  </si>
  <si>
    <t>九大生協　ビッグどら店</t>
  </si>
  <si>
    <t>西南学院大学生協</t>
  </si>
  <si>
    <t>福岡県立大</t>
  </si>
  <si>
    <t>九州国際大</t>
  </si>
  <si>
    <t>西南女学院</t>
  </si>
  <si>
    <t>福岡インカレ</t>
  </si>
  <si>
    <t>【解散】インカレ筑紫女学園</t>
  </si>
  <si>
    <t>西南大購買店</t>
  </si>
  <si>
    <t>佐賀大学</t>
  </si>
  <si>
    <t>長崎大生協文教店</t>
  </si>
  <si>
    <t>長崎大医学部</t>
  </si>
  <si>
    <t>長崎大歯学部</t>
  </si>
  <si>
    <t>長崎大経済</t>
  </si>
  <si>
    <t>長崎大保健学科店</t>
  </si>
  <si>
    <t>長崎県立大</t>
  </si>
  <si>
    <t>純心大学</t>
  </si>
  <si>
    <t>長崎シーボルト</t>
  </si>
  <si>
    <t>熊本インカレ</t>
  </si>
  <si>
    <t>熊本大学生協学館店</t>
  </si>
  <si>
    <t>熊本大フェリコ</t>
  </si>
  <si>
    <t>熊本大医学</t>
  </si>
  <si>
    <t>熊本大薬学店</t>
  </si>
  <si>
    <t>大分大学</t>
  </si>
  <si>
    <t>アジア太平洋</t>
  </si>
  <si>
    <t>宮崎大学</t>
  </si>
  <si>
    <t>南九学園生協宮崎店</t>
  </si>
  <si>
    <t>南九学園生協都城店</t>
  </si>
  <si>
    <t>鹿大生協ＳＳ</t>
  </si>
  <si>
    <t>鹿大桜ヶ丘店</t>
  </si>
  <si>
    <t>鹿大教育</t>
  </si>
  <si>
    <t>鹿児島県短</t>
  </si>
  <si>
    <t>琉球大学</t>
  </si>
  <si>
    <t>沖縄大学</t>
  </si>
  <si>
    <t>店舗別合計</t>
  </si>
  <si>
    <t>-</t>
  </si>
  <si>
    <t>ゼロからの『資本論』</t>
  </si>
  <si>
    <t>斎藤幸平</t>
  </si>
  <si>
    <t>ＮＨＫ出版</t>
  </si>
  <si>
    <t>一般</t>
  </si>
  <si>
    <t>新書</t>
  </si>
  <si>
    <t>哲学</t>
  </si>
  <si>
    <t>太陽の子</t>
  </si>
  <si>
    <t>灰谷健次郎</t>
  </si>
  <si>
    <t>角川書店</t>
  </si>
  <si>
    <t>文庫</t>
  </si>
  <si>
    <t>日文小説</t>
  </si>
  <si>
    <t>万葉集</t>
  </si>
  <si>
    <t>Ａー１ー２</t>
  </si>
  <si>
    <t>角川学芸出版</t>
  </si>
  <si>
    <t>日文詩歌</t>
  </si>
  <si>
    <t>平家物語</t>
  </si>
  <si>
    <t>Ａー１ー８</t>
  </si>
  <si>
    <t>傲慢と善良</t>
  </si>
  <si>
    <t>辻村深月</t>
  </si>
  <si>
    <t>つ２０ー１</t>
  </si>
  <si>
    <t>朝日新聞出版</t>
  </si>
  <si>
    <t>ウクライナ戦争</t>
  </si>
  <si>
    <t>小泉悠</t>
  </si>
  <si>
    <t>筑摩書房</t>
  </si>
  <si>
    <t>政治</t>
  </si>
  <si>
    <t>徹底討論！問われる宗教と“カルト”</t>
  </si>
  <si>
    <t>島薗進</t>
  </si>
  <si>
    <t>社会</t>
  </si>
  <si>
    <t>土佐日記</t>
  </si>
  <si>
    <t>紀貫之</t>
  </si>
  <si>
    <t>Ａー２ー３</t>
  </si>
  <si>
    <t>日文評論</t>
  </si>
  <si>
    <t>方丈記</t>
  </si>
  <si>
    <t>鴨長明</t>
  </si>
  <si>
    <t>Ａー２ー９</t>
  </si>
  <si>
    <t>暇と退屈の倫理学</t>
  </si>
  <si>
    <t>國分功一郎</t>
  </si>
  <si>
    <t>こー７３ー１</t>
  </si>
  <si>
    <t>新潮社</t>
  </si>
  <si>
    <t>倫理</t>
  </si>
  <si>
    <t>〈個〉の誕生</t>
  </si>
  <si>
    <t>坂口ふみ</t>
  </si>
  <si>
    <t>学術４６０</t>
  </si>
  <si>
    <t>岩波書店</t>
  </si>
  <si>
    <t>キリスト</t>
  </si>
  <si>
    <t>枕草子</t>
  </si>
  <si>
    <t>清少納言</t>
  </si>
  <si>
    <t>Ａー１ー５</t>
  </si>
  <si>
    <t>政治と宗教</t>
  </si>
  <si>
    <t>新赤版１９５７</t>
  </si>
  <si>
    <t>超デジタル世界</t>
  </si>
  <si>
    <t>西垣通</t>
  </si>
  <si>
    <t>新赤版１９５６</t>
  </si>
  <si>
    <t>さらば、男性政治</t>
  </si>
  <si>
    <t>三浦まり</t>
  </si>
  <si>
    <t>新赤版１９５５</t>
  </si>
  <si>
    <t>人新世の「資本論」</t>
  </si>
  <si>
    <t>１０３５Ａ</t>
  </si>
  <si>
    <t>集英社</t>
  </si>
  <si>
    <t>経済財政</t>
  </si>
  <si>
    <t>不倫　実証分析が示す全貌</t>
  </si>
  <si>
    <t>五十嵐彰</t>
  </si>
  <si>
    <t>中央公論新社</t>
  </si>
  <si>
    <t>教養</t>
  </si>
  <si>
    <t>アインシュタイン　一般相対性理論</t>
  </si>
  <si>
    <t>小玉英雄</t>
  </si>
  <si>
    <t>青９３４ー３</t>
  </si>
  <si>
    <t>物理学</t>
  </si>
  <si>
    <t>基礎からわかる論文の書き方</t>
  </si>
  <si>
    <t>小熊英二</t>
  </si>
  <si>
    <t>講談社</t>
  </si>
  <si>
    <t>総記</t>
  </si>
  <si>
    <t>一汁一菜でよいと至るまで</t>
  </si>
  <si>
    <t>土井善晴</t>
  </si>
  <si>
    <t>諸芸娯楽</t>
  </si>
  <si>
    <t>現代思想入門</t>
  </si>
  <si>
    <t>千葉雅也</t>
  </si>
  <si>
    <t>いちにち、古典</t>
  </si>
  <si>
    <t>田中貴子</t>
  </si>
  <si>
    <t>新赤版１９５８</t>
  </si>
  <si>
    <t>日文総記</t>
  </si>
  <si>
    <t>新興国は世界を変えるか</t>
  </si>
  <si>
    <t>恒川惠市</t>
  </si>
  <si>
    <t>サラゴサ手稿　下</t>
  </si>
  <si>
    <t>ヤン・ポトツキ</t>
  </si>
  <si>
    <t>赤Ｎ５１９ー３</t>
  </si>
  <si>
    <t>外文小説</t>
  </si>
  <si>
    <t>消費社会を問いなおす</t>
  </si>
  <si>
    <t>貞包英之</t>
  </si>
  <si>
    <t>英語と日本人</t>
  </si>
  <si>
    <t>江利川春雄</t>
  </si>
  <si>
    <t>教育</t>
  </si>
  <si>
    <t>かがみの孤城　上</t>
  </si>
  <si>
    <t>つ１ー１</t>
  </si>
  <si>
    <t>ポプラ社</t>
  </si>
  <si>
    <t>閑吟集</t>
  </si>
  <si>
    <t>真鍋昌弘</t>
  </si>
  <si>
    <t>黄１２８ー１</t>
  </si>
  <si>
    <t>マルクス・アウレリウス　『自省録』のローマ帝国</t>
  </si>
  <si>
    <t>南川高志</t>
  </si>
  <si>
    <t>新赤版　１９５４</t>
  </si>
  <si>
    <t>外国歴史</t>
  </si>
  <si>
    <t>聞く技術聞いてもらう技術</t>
  </si>
  <si>
    <t>東畑開人</t>
  </si>
  <si>
    <t>思考の整理学</t>
  </si>
  <si>
    <t>外山滋比古</t>
  </si>
  <si>
    <t>とー１ー１</t>
  </si>
  <si>
    <t>かがみの孤城　下</t>
  </si>
  <si>
    <t>つ１ー２</t>
  </si>
  <si>
    <t>スピノザ</t>
  </si>
  <si>
    <t>新赤版　１９４４</t>
  </si>
  <si>
    <t>未来の年表　業界大変化　瀬戸際の日本で起きること</t>
  </si>
  <si>
    <t>河合雅司</t>
  </si>
  <si>
    <t>ウイルスとは何か</t>
  </si>
  <si>
    <t>長谷川政美</t>
  </si>
  <si>
    <t>生物学</t>
  </si>
  <si>
    <t>小説すずめの戸締まり</t>
  </si>
  <si>
    <t>新海誠</t>
  </si>
  <si>
    <t>しー５７ー８</t>
  </si>
  <si>
    <t>ＫＡＤＯＫＡＷＡ</t>
  </si>
  <si>
    <t>バカと無知</t>
  </si>
  <si>
    <t>橘玲</t>
  </si>
  <si>
    <t>社会科学</t>
  </si>
  <si>
    <t>大学数学の教則</t>
  </si>
  <si>
    <t>矢崎成俊</t>
  </si>
  <si>
    <t>ヤー３２ー１</t>
  </si>
  <si>
    <t>数学</t>
  </si>
  <si>
    <t>リヴァイアサン　上</t>
  </si>
  <si>
    <t>トマス・ホッブズ</t>
  </si>
  <si>
    <t>ホー２２ー２</t>
  </si>
  <si>
    <t>「心のクセ」に気づくには</t>
  </si>
  <si>
    <t>村山綾</t>
  </si>
  <si>
    <t>心理</t>
  </si>
  <si>
    <t>リヴァイアサン　下</t>
  </si>
  <si>
    <t>ホー２２ー３</t>
  </si>
  <si>
    <t>宗教哲学講義</t>
  </si>
  <si>
    <t>ゲオルク・ヴィルヘルム・フリードリヒ・ヘ</t>
  </si>
  <si>
    <t>アフター・アベノミクス</t>
  </si>
  <si>
    <t>軽部謙介</t>
  </si>
  <si>
    <t>新赤版　１９５１</t>
  </si>
  <si>
    <t>田中耕太郎ー闘う司法の確立者、世界法の探求者</t>
  </si>
  <si>
    <t>牧原出</t>
  </si>
  <si>
    <t>日本歴史</t>
  </si>
  <si>
    <t>学力格差を克服する</t>
  </si>
  <si>
    <t>志水宏吉</t>
  </si>
  <si>
    <t>「おのずから」と「みずから」</t>
  </si>
  <si>
    <t>竹内整一</t>
  </si>
  <si>
    <t>ター４５ー２</t>
  </si>
  <si>
    <t>現代カタストロフ論</t>
  </si>
  <si>
    <t>金子勝</t>
  </si>
  <si>
    <t>新赤版　１９５３</t>
  </si>
  <si>
    <t>パワハラ上司を科学する</t>
  </si>
  <si>
    <t>津野香奈美</t>
  </si>
  <si>
    <t>読むことのアレゴリー</t>
  </si>
  <si>
    <t>ポール・ド・マン</t>
  </si>
  <si>
    <t>人を動かす</t>
  </si>
  <si>
    <t>デール・カーネギー</t>
  </si>
  <si>
    <t>創元社</t>
  </si>
  <si>
    <t>コンビニ人間</t>
  </si>
  <si>
    <t>村田沙耶香</t>
  </si>
  <si>
    <t>むー１６ー１</t>
  </si>
  <si>
    <t>文藝春秋</t>
  </si>
  <si>
    <t>大学４年間のデータサイエンスが１０時間でざっと学べる</t>
  </si>
  <si>
    <t>久野遼平</t>
  </si>
  <si>
    <t>ひ３７ー１</t>
  </si>
  <si>
    <t>沖縄のいきもの</t>
  </si>
  <si>
    <t>盛口満</t>
  </si>
  <si>
    <t>日本の歴史問題</t>
  </si>
  <si>
    <t>波多野澄雄</t>
  </si>
  <si>
    <t>数学文章作法　基礎編</t>
  </si>
  <si>
    <t>結城浩</t>
  </si>
  <si>
    <t>ユ４ー１</t>
  </si>
  <si>
    <t>世界インフレの謎</t>
  </si>
  <si>
    <t>渡辺努</t>
  </si>
  <si>
    <t>漢文の語法</t>
  </si>
  <si>
    <t>西田太一郎</t>
  </si>
  <si>
    <t>Ｅー２０２ー１</t>
  </si>
  <si>
    <t>日本語</t>
  </si>
  <si>
    <t>子どものための哲学対話</t>
  </si>
  <si>
    <t>永井均</t>
  </si>
  <si>
    <t>な８０ー１</t>
  </si>
  <si>
    <t>新しいゲノムの教科書</t>
  </si>
  <si>
    <t>中井謙太</t>
  </si>
  <si>
    <t>Ｂ２２２１</t>
  </si>
  <si>
    <t>今を生きる思想　ミシェル・フーコー　権力の言いなりにならない生き方</t>
  </si>
  <si>
    <t>箱田徹</t>
  </si>
  <si>
    <t>２２世紀の民主主義</t>
  </si>
  <si>
    <t>成田悠輔</t>
  </si>
  <si>
    <t>ＳＢクリエイティブ</t>
  </si>
  <si>
    <t>コロナ禍で暴かれた日本医療の盲点</t>
  </si>
  <si>
    <t>島田眞路</t>
  </si>
  <si>
    <t>平凡社</t>
  </si>
  <si>
    <t>医学薬学</t>
  </si>
  <si>
    <t>量子力学の多世界解釈　なぜあなたは無数に存在するのか</t>
  </si>
  <si>
    <t>和田純夫</t>
  </si>
  <si>
    <t>Ｂー２２１９</t>
  </si>
  <si>
    <t>古典と日本人</t>
  </si>
  <si>
    <t>前田雅之</t>
  </si>
  <si>
    <t>光文社</t>
  </si>
  <si>
    <t>ルポ食が壊れる　私たちは何を食べさせられるのか？</t>
  </si>
  <si>
    <t>堤未果</t>
  </si>
  <si>
    <t>小さなまちの奇跡の図書館</t>
  </si>
  <si>
    <t>猪谷千香</t>
  </si>
  <si>
    <t>ジョン・デューイ</t>
  </si>
  <si>
    <t>上野正道</t>
  </si>
  <si>
    <t>新赤版　１９４５</t>
  </si>
  <si>
    <t>母性</t>
  </si>
  <si>
    <t>湊かなえ</t>
  </si>
  <si>
    <t>みー５６ー１</t>
  </si>
  <si>
    <t>独裁体制から民主主義へ</t>
  </si>
  <si>
    <t>ジーン・シャープ</t>
  </si>
  <si>
    <t>シ３０ー１</t>
  </si>
  <si>
    <t>中国の神話　神々の誕生</t>
  </si>
  <si>
    <t>貝塚茂樹</t>
  </si>
  <si>
    <t>ナチズムの美学</t>
  </si>
  <si>
    <t>ソール・フリードレンダー</t>
  </si>
  <si>
    <t>フー４９ー１</t>
  </si>
  <si>
    <t>大学４年間の社会学が１０時間でざっと学べる</t>
  </si>
  <si>
    <t>出口剛司</t>
  </si>
  <si>
    <t>て１３ー１</t>
  </si>
  <si>
    <t>「移民国家」としての日本</t>
  </si>
  <si>
    <t>宮島喬</t>
  </si>
  <si>
    <t>新赤版　１９４７</t>
  </si>
  <si>
    <t>理科系の作文技術</t>
  </si>
  <si>
    <t>木下是雄</t>
  </si>
  <si>
    <t>自然科学</t>
  </si>
  <si>
    <t>スマホ脳</t>
  </si>
  <si>
    <t>アンデシュ・ハンセン</t>
  </si>
  <si>
    <t>死にがいを求めて生きているの</t>
  </si>
  <si>
    <t>朝井リョウ</t>
  </si>
  <si>
    <t>あ９２ー２</t>
  </si>
  <si>
    <t>ルポ　アメリカの核戦力</t>
  </si>
  <si>
    <t>渡辺丘</t>
  </si>
  <si>
    <t>新赤版　１９５２</t>
  </si>
  <si>
    <t>なぜ理系に女性が少ないのか</t>
  </si>
  <si>
    <t>横山広美</t>
  </si>
  <si>
    <t>幻冬舎</t>
  </si>
  <si>
    <t>何もしないほうが得な日本</t>
  </si>
  <si>
    <t>太田肇</t>
  </si>
  <si>
    <t>ＰＨＰ研究所</t>
  </si>
  <si>
    <t>はまると深い！数学クイズ　直感力・思考力を磨く</t>
  </si>
  <si>
    <t>横山明日希</t>
  </si>
  <si>
    <t>Ｂー２２２２</t>
  </si>
  <si>
    <t>子どもの文化人類学</t>
  </si>
  <si>
    <t>原ひろ子</t>
  </si>
  <si>
    <t>ハー５８ー１</t>
  </si>
  <si>
    <t>民族風習</t>
  </si>
  <si>
    <t>ルポ　プーチンの破滅戦争</t>
  </si>
  <si>
    <t>真野森作</t>
  </si>
  <si>
    <t>ヒポクラテス医学論集</t>
  </si>
  <si>
    <t>國方栄二</t>
  </si>
  <si>
    <t>青９０１ー２</t>
  </si>
  <si>
    <t>物語遺伝学の歴史</t>
  </si>
  <si>
    <t>平野博之（植物発生遺伝学）</t>
  </si>
  <si>
    <t>〈共生〉から考える</t>
  </si>
  <si>
    <t>川本隆史</t>
  </si>
  <si>
    <t>学術４５９</t>
  </si>
  <si>
    <t>大塩平八郎の乱</t>
  </si>
  <si>
    <t>薮田貫</t>
  </si>
  <si>
    <t>ネット右翼になった父</t>
  </si>
  <si>
    <t>鈴木大介</t>
  </si>
  <si>
    <t>「科学にすがるな！」</t>
  </si>
  <si>
    <t>佐藤文隆</t>
  </si>
  <si>
    <t>社会３３５</t>
  </si>
  <si>
    <t>陰謀論</t>
  </si>
  <si>
    <t>秦正樹</t>
  </si>
  <si>
    <t>量子の世界をみる方法「スピン」とは何か</t>
  </si>
  <si>
    <t>村上洋一</t>
  </si>
  <si>
    <t>Ｂー２２１７</t>
  </si>
  <si>
    <t>日本史を暴く</t>
  </si>
  <si>
    <t>磯田道史</t>
  </si>
  <si>
    <t>ジョブ型雇用社会とは何か</t>
  </si>
  <si>
    <t>濱口桂一郎</t>
  </si>
  <si>
    <t>新赤版１８９４</t>
  </si>
  <si>
    <t>人類の起源</t>
  </si>
  <si>
    <t>篠田謙一</t>
  </si>
  <si>
    <t>普通という異常　健常発達という病</t>
  </si>
  <si>
    <t>兼本浩祐</t>
  </si>
  <si>
    <t>はじめての構造主義</t>
  </si>
  <si>
    <t>橋爪大三郎</t>
  </si>
  <si>
    <t>日本人だけが知らない「貿易救済措置」</t>
  </si>
  <si>
    <t>柴山千里</t>
  </si>
  <si>
    <t>小樽商科大学出版会</t>
  </si>
  <si>
    <t>専門</t>
  </si>
  <si>
    <t>カケラ</t>
  </si>
  <si>
    <t>みー５０ー３</t>
  </si>
  <si>
    <t>森林に何が起きているのか</t>
  </si>
  <si>
    <t>吉川賢</t>
  </si>
  <si>
    <t>農林業</t>
  </si>
  <si>
    <t>教育格差の経済学</t>
  </si>
  <si>
    <t>橘木俊詔</t>
  </si>
  <si>
    <t>人権と国家</t>
  </si>
  <si>
    <t>筒井清輝</t>
  </si>
  <si>
    <t>新赤版１９１２</t>
  </si>
  <si>
    <t>古代豪族　大神氏</t>
  </si>
  <si>
    <t>鈴木正信</t>
  </si>
  <si>
    <t>歴史の逆流</t>
  </si>
  <si>
    <t>長谷部恭男</t>
  </si>
  <si>
    <t>自分の中に毒を持て</t>
  </si>
  <si>
    <t>岡本太郎</t>
  </si>
  <si>
    <t>おー５０</t>
  </si>
  <si>
    <t>青春出版社</t>
  </si>
  <si>
    <t>紛争・対立・暴力</t>
  </si>
  <si>
    <t>西崎文子</t>
  </si>
  <si>
    <t>数学の影絵</t>
  </si>
  <si>
    <t>吉田洋一</t>
  </si>
  <si>
    <t>ヨー１３ー４</t>
  </si>
  <si>
    <t>思想史講義【戦前昭和篇】</t>
  </si>
  <si>
    <t>山口輝臣</t>
  </si>
  <si>
    <t>アイヌ文化で読み解く「ゴールデンカムイ」</t>
  </si>
  <si>
    <t>中川裕（アイヌ語学）</t>
  </si>
  <si>
    <t>植物の形には意味がある</t>
  </si>
  <si>
    <t>園池公毅</t>
  </si>
  <si>
    <t>Ｋ１４１ー１</t>
  </si>
  <si>
    <t>はじめてのクラシック音楽</t>
  </si>
  <si>
    <t>許光俊</t>
  </si>
  <si>
    <t>音楽舞踊</t>
  </si>
  <si>
    <t>ルビンの壷が割れた</t>
  </si>
  <si>
    <t>宿野かほる</t>
  </si>
  <si>
    <t>やー８１ー１</t>
  </si>
  <si>
    <t>教育大国シンガポール</t>
  </si>
  <si>
    <t>中野円佳</t>
  </si>
  <si>
    <t>四畳半神話大系</t>
  </si>
  <si>
    <t>森見登美彦</t>
  </si>
  <si>
    <t>クジラアタマの王様</t>
  </si>
  <si>
    <t>伊坂幸太郎</t>
  </si>
  <si>
    <t>いー６９ー１３</t>
  </si>
  <si>
    <t>告白</t>
  </si>
  <si>
    <t>みー２１ー０１</t>
  </si>
  <si>
    <t>双葉社</t>
  </si>
  <si>
    <t>アニメ療法</t>
  </si>
  <si>
    <t>パントー・フランチェスコ</t>
  </si>
  <si>
    <t>雨月物語</t>
  </si>
  <si>
    <t>上田秋成</t>
  </si>
  <si>
    <t>黄２２０ー３</t>
  </si>
  <si>
    <t>会話を哲学する</t>
  </si>
  <si>
    <t>三木那由他</t>
  </si>
  <si>
    <t>ウクライナ通貨誕生</t>
  </si>
  <si>
    <t>西谷公明</t>
  </si>
  <si>
    <t>社会３３４</t>
  </si>
  <si>
    <t>未来倫理</t>
  </si>
  <si>
    <t>戸谷洋志</t>
  </si>
  <si>
    <t>１１４８Ｃ</t>
  </si>
  <si>
    <t>四畳半タイムマシンブルース</t>
  </si>
  <si>
    <t>も１９ー５</t>
  </si>
  <si>
    <t>コロナ対策禍の国と自治体</t>
  </si>
  <si>
    <t>金井利之</t>
  </si>
  <si>
    <t>独立のすすめ　福沢諭吉演説集</t>
  </si>
  <si>
    <t>小川原正道</t>
  </si>
  <si>
    <t>麦本三歩の好きなもの　第二集</t>
  </si>
  <si>
    <t>住野よる</t>
  </si>
  <si>
    <t>すー２０ー２</t>
  </si>
  <si>
    <t>フェミニズムってなんですか？</t>
  </si>
  <si>
    <t>清水晶子</t>
  </si>
  <si>
    <t>巨大おけを絶やすな！</t>
  </si>
  <si>
    <t>竹内早希子</t>
  </si>
  <si>
    <t>人間の知的能力に関する試論　上</t>
  </si>
  <si>
    <t>トマス・リード</t>
  </si>
  <si>
    <t>青Ｎ６０６ー１</t>
  </si>
  <si>
    <t>台湾生まれ日本語育ち</t>
  </si>
  <si>
    <t>温又柔</t>
  </si>
  <si>
    <t>白水社</t>
  </si>
  <si>
    <t>日露戦争の時代</t>
  </si>
  <si>
    <t>鈴木貞美</t>
  </si>
  <si>
    <t>ぼくはイエローでホワイトで、ちょっとブルー</t>
  </si>
  <si>
    <t>ブレイディみかこ</t>
  </si>
  <si>
    <t>ふー５７ー２</t>
  </si>
  <si>
    <t>銃・病原菌・鉄　上巻</t>
  </si>
  <si>
    <t>ジャレド・ダイアモンド</t>
  </si>
  <si>
    <t>ダ１ー１</t>
  </si>
  <si>
    <t>草思社</t>
  </si>
  <si>
    <t>メタバースビジネス覇権戦争</t>
  </si>
  <si>
    <t>新清士</t>
  </si>
  <si>
    <t>タテ社会の人間関係</t>
  </si>
  <si>
    <t>中根千枝</t>
  </si>
  <si>
    <t>「覚える」と「わかる」</t>
  </si>
  <si>
    <t>信原幸弘</t>
  </si>
  <si>
    <t>マイブック</t>
  </si>
  <si>
    <t>大貫卓也</t>
  </si>
  <si>
    <t>んー７０ー２５</t>
  </si>
  <si>
    <t>言語ゲームの練習問題</t>
  </si>
  <si>
    <t>未成年　３</t>
  </si>
  <si>
    <t>フョードル・ミハイロヴィチ・ドストエフス</t>
  </si>
  <si>
    <t>ＫーＡトー１ー２５</t>
  </si>
  <si>
    <t>「自傷的自己愛」の精神分析</t>
  </si>
  <si>
    <t>斎藤環（精神科医）</t>
  </si>
  <si>
    <t>Ｋー４０６</t>
  </si>
  <si>
    <t>知っておきたい地球科学</t>
  </si>
  <si>
    <t>鎌田浩毅</t>
  </si>
  <si>
    <t>新赤版　１９５０</t>
  </si>
  <si>
    <t>天文地学</t>
  </si>
  <si>
    <t>古代ギリシアの民主政</t>
  </si>
  <si>
    <t>橋場弦</t>
  </si>
  <si>
    <t>新赤版　１９４３</t>
  </si>
  <si>
    <t>大洪水の前に</t>
  </si>
  <si>
    <t>Ｇ１２３ー１</t>
  </si>
  <si>
    <t>医の変革</t>
  </si>
  <si>
    <t>春日雅人</t>
  </si>
  <si>
    <t>新赤版１９５９</t>
  </si>
  <si>
    <t>森鴎外，自分を探す</t>
  </si>
  <si>
    <t>出口智之</t>
  </si>
  <si>
    <t>常設展示室</t>
  </si>
  <si>
    <t>原田マハ</t>
  </si>
  <si>
    <t>はー６３ー４</t>
  </si>
  <si>
    <t>死は存在しない</t>
  </si>
  <si>
    <t>田坂広志</t>
  </si>
  <si>
    <t>同調者</t>
  </si>
  <si>
    <t>アルベルト・モラヴィア</t>
  </si>
  <si>
    <t>ＫーＡモー３ー２</t>
  </si>
  <si>
    <t>畠中尚志全文集</t>
  </si>
  <si>
    <t>畠中尚志</t>
  </si>
  <si>
    <t>地図記号のひみつ</t>
  </si>
  <si>
    <t>今尾恵介</t>
  </si>
  <si>
    <t>地理</t>
  </si>
  <si>
    <t>人体最強の臓器皮膚のふしぎ　最新科学でわかった万能性</t>
  </si>
  <si>
    <t>椛島健治</t>
  </si>
  <si>
    <t>Ｂー２２２０</t>
  </si>
  <si>
    <t>源氏物語補作　山路の露・雲隠六帖　他二篇</t>
  </si>
  <si>
    <t>今西祐一郎</t>
  </si>
  <si>
    <t>黄１５ー１９</t>
  </si>
  <si>
    <t>孤塁　双葉郡消防士たちの３・１１</t>
  </si>
  <si>
    <t>吉田千亜</t>
  </si>
  <si>
    <t>社会３３３</t>
  </si>
  <si>
    <t>行動経済学の使い方</t>
  </si>
  <si>
    <t>大竹文雄</t>
  </si>
  <si>
    <t>新赤版１７９５</t>
  </si>
  <si>
    <t>おとなの作文教室</t>
  </si>
  <si>
    <t>外岡秀俊</t>
  </si>
  <si>
    <t>そー６ー１</t>
  </si>
  <si>
    <t>ファスト教養　１０分で答えが欲しい人たち</t>
  </si>
  <si>
    <t>レジー</t>
  </si>
  <si>
    <t>１１３３Ｂ</t>
  </si>
  <si>
    <t>三千円の使いかた</t>
  </si>
  <si>
    <t>原田ひ香</t>
  </si>
  <si>
    <t>は７４ー１</t>
  </si>
  <si>
    <t>包み結びの歳時記</t>
  </si>
  <si>
    <t>額田巌</t>
  </si>
  <si>
    <t>情報生産者になる</t>
  </si>
  <si>
    <t>上野千鶴子（社会学）</t>
  </si>
  <si>
    <t>犬も食わない</t>
  </si>
  <si>
    <t>尾崎世界観</t>
  </si>
  <si>
    <t>おー１１２ー１</t>
  </si>
  <si>
    <t>Ｗｅｂ３とは何か</t>
  </si>
  <si>
    <t>岡嶋裕史</t>
  </si>
  <si>
    <t>電子通信</t>
  </si>
  <si>
    <t>夜空に泳ぐチョコレートグラミー</t>
  </si>
  <si>
    <t>町田そのこ</t>
  </si>
  <si>
    <t>まー６０ー２１</t>
  </si>
  <si>
    <t>考えるシート</t>
  </si>
  <si>
    <t>山田ズーニー</t>
  </si>
  <si>
    <t>Ｇ１５６・１</t>
  </si>
  <si>
    <t>新・日本の階級社会</t>
  </si>
  <si>
    <t>橋本健二</t>
  </si>
  <si>
    <t>女ぎらい</t>
  </si>
  <si>
    <t>う５ー９</t>
  </si>
  <si>
    <t>風神雷神Ｊｕｐｐｉｔｅｒ，Ａｅｏｌｕｓ　上</t>
  </si>
  <si>
    <t>はー２ー３</t>
  </si>
  <si>
    <t>行動経済学の処方箋</t>
  </si>
  <si>
    <t>ボッコちゃん</t>
  </si>
  <si>
    <t>星新一</t>
  </si>
  <si>
    <t>ほー４ー１</t>
  </si>
  <si>
    <t>夜は短し歩けよ乙女</t>
  </si>
  <si>
    <t>忘れる読書</t>
  </si>
  <si>
    <t>落合陽一</t>
  </si>
  <si>
    <t>中流崩壊</t>
  </si>
  <si>
    <t>シンメトリー</t>
  </si>
  <si>
    <t>ヘルマン・ワイル</t>
  </si>
  <si>
    <t>ワー１２ー４</t>
  </si>
  <si>
    <t>政治的なものの概念</t>
  </si>
  <si>
    <t>カール・シュミット</t>
  </si>
  <si>
    <t>白３０ー２</t>
  </si>
  <si>
    <t>１３歳からのサイエンス</t>
  </si>
  <si>
    <t>緑慎也</t>
  </si>
  <si>
    <t>ポピュリズムに揺れる欧州政党政治</t>
  </si>
  <si>
    <t>パスカル・ペリノー</t>
  </si>
  <si>
    <t>Ｑ１０５６</t>
  </si>
  <si>
    <t>ビジュアルデータサイエンティスト基本スキル８４</t>
  </si>
  <si>
    <t>野村総合研究所データサイエンスラボ</t>
  </si>
  <si>
    <t>日経ＢＰ</t>
  </si>
  <si>
    <t>経営</t>
  </si>
  <si>
    <t>シーソーモンスター</t>
  </si>
  <si>
    <t>い１１７ー２</t>
  </si>
  <si>
    <t>侍女の物語</t>
  </si>
  <si>
    <t>マーガレット・アトウッド</t>
  </si>
  <si>
    <t>ｅｐｉ　１１</t>
  </si>
  <si>
    <t>早川書房</t>
  </si>
  <si>
    <t>ＳＤＧｓ（持続可能な開発目標）</t>
  </si>
  <si>
    <t>蟹江憲史</t>
  </si>
  <si>
    <t>イノベーションの考え方</t>
  </si>
  <si>
    <t>清水洋</t>
  </si>
  <si>
    <t>Ｆ７７</t>
  </si>
  <si>
    <t>ライオンのおやつ</t>
  </si>
  <si>
    <t>小川糸</t>
  </si>
  <si>
    <t>お５ー５</t>
  </si>
  <si>
    <t>人類と気候の１０万年史</t>
  </si>
  <si>
    <t>中川毅</t>
  </si>
  <si>
    <t>Ｂー２００４</t>
  </si>
  <si>
    <t>ラーゲリより愛を込めて</t>
  </si>
  <si>
    <t>辺見じゅん</t>
  </si>
  <si>
    <t>へ１ー５</t>
  </si>
  <si>
    <t>この世界の問い方</t>
  </si>
  <si>
    <t>大澤真幸</t>
  </si>
  <si>
    <t>天才たちの未来予測図</t>
  </si>
  <si>
    <t>高橋弘樹</t>
  </si>
  <si>
    <t>マガジンハウス</t>
  </si>
  <si>
    <t>フマーユーン・ナーマ</t>
  </si>
  <si>
    <t>グルバダン・ベギム</t>
  </si>
  <si>
    <t>経営組織</t>
  </si>
  <si>
    <t>金井寿宏</t>
  </si>
  <si>
    <t>日経ＢＰＭ（日本経済新聞出版本部）</t>
  </si>
  <si>
    <t>伊藤野枝集</t>
  </si>
  <si>
    <t>伊藤野枝</t>
  </si>
  <si>
    <t>青Ｎ１２８ー１</t>
  </si>
  <si>
    <t>月まで三キロ</t>
  </si>
  <si>
    <t>伊与原新</t>
  </si>
  <si>
    <t>いー１２３ー１２</t>
  </si>
  <si>
    <t>風神雷神Ｊｕｐｐｉｔｅｒ，Ａｅｏｌｕｓ　下</t>
  </si>
  <si>
    <t>はー２ー４</t>
  </si>
  <si>
    <t>十角館の殺人</t>
  </si>
  <si>
    <t>綾辻行人</t>
  </si>
  <si>
    <t>あ５２ー１４</t>
  </si>
  <si>
    <t>ストレス脳</t>
  </si>
  <si>
    <t>メタバースと経済の未来</t>
  </si>
  <si>
    <t>井上智洋</t>
  </si>
  <si>
    <t>社会を変えるスタートアップ</t>
  </si>
  <si>
    <t>小野貴也</t>
  </si>
  <si>
    <t>一汁一菜でよいという提案</t>
  </si>
  <si>
    <t>とー３３ー１</t>
  </si>
  <si>
    <t>家事</t>
  </si>
  <si>
    <t>朝鮮の膳／朝鮮陶磁名考</t>
  </si>
  <si>
    <t>浅川巧</t>
  </si>
  <si>
    <t>アー４７ー１</t>
  </si>
  <si>
    <t>写真工芸</t>
  </si>
  <si>
    <t>歴史学のトリセツ</t>
  </si>
  <si>
    <t>小田中直樹</t>
  </si>
  <si>
    <t>歴史総記</t>
  </si>
  <si>
    <t>現代文解釈の方法</t>
  </si>
  <si>
    <t>遠藤嘉基</t>
  </si>
  <si>
    <t>エー１７ー２</t>
  </si>
  <si>
    <t>現代日本政治史</t>
  </si>
  <si>
    <t>大井赤亥</t>
  </si>
  <si>
    <t>金閣寺</t>
  </si>
  <si>
    <t>三島由紀夫</t>
  </si>
  <si>
    <t>みー３ー８</t>
  </si>
  <si>
    <t>東シナ海　漁民たちの国境紛争</t>
  </si>
  <si>
    <t>佐々木貴文</t>
  </si>
  <si>
    <t>Ｋー３７７</t>
  </si>
  <si>
    <t>自由論</t>
  </si>
  <si>
    <t>ジョン・スチュアート・ミル</t>
  </si>
  <si>
    <t>白１１６ー６</t>
  </si>
  <si>
    <t>銃・病原菌・鉄　下巻</t>
  </si>
  <si>
    <t>ダ１ー２</t>
  </si>
  <si>
    <t>十六夜橋</t>
  </si>
  <si>
    <t>石牟礼道子</t>
  </si>
  <si>
    <t>いー４４ー３</t>
  </si>
  <si>
    <t>ゆるい職場</t>
  </si>
  <si>
    <t>古屋星斗</t>
  </si>
  <si>
    <t>総合商社とはなにか</t>
  </si>
  <si>
    <t>猿島弘士</t>
  </si>
  <si>
    <t>「日本」ってどんな国？</t>
  </si>
  <si>
    <t>本田由紀</t>
  </si>
  <si>
    <t>ツナグ　想い人の心得</t>
  </si>
  <si>
    <t>つー２９ー２</t>
  </si>
  <si>
    <t>つながりの哲学的思考</t>
  </si>
  <si>
    <t>米山優</t>
  </si>
  <si>
    <t>砂の女</t>
  </si>
  <si>
    <t>安部公房</t>
  </si>
  <si>
    <t>あー４ー１５</t>
  </si>
  <si>
    <t>オスとは何で、メスとは何か？</t>
  </si>
  <si>
    <t>諸橋憲一郎</t>
  </si>
  <si>
    <t>防衛省に告ぐ</t>
  </si>
  <si>
    <t>香田洋二</t>
  </si>
  <si>
    <t>武器としての国際人権　日本の貧困・報道・差別</t>
  </si>
  <si>
    <t>藤田早苗</t>
  </si>
  <si>
    <t>１１４６Ｂ</t>
  </si>
  <si>
    <t>法律</t>
  </si>
  <si>
    <t>若者と労働</t>
  </si>
  <si>
    <t>浜口桂一郎</t>
  </si>
  <si>
    <t>名著入門</t>
  </si>
  <si>
    <t>平田オリザ</t>
  </si>
  <si>
    <t>２０代にしておきたい１７のこと</t>
  </si>
  <si>
    <t>本田健</t>
  </si>
  <si>
    <t>８ー６Ｇ</t>
  </si>
  <si>
    <t>大和書房</t>
  </si>
  <si>
    <t>本と鍵の季節</t>
  </si>
  <si>
    <t>米澤穂信</t>
  </si>
  <si>
    <t>よー２６ー２</t>
  </si>
  <si>
    <t>「おふくろの味」幻想</t>
  </si>
  <si>
    <t>湯澤規子</t>
  </si>
  <si>
    <t>命の格差は止められるか</t>
  </si>
  <si>
    <t>イチロー・カワチ</t>
  </si>
  <si>
    <t>小学館</t>
  </si>
  <si>
    <t>女のいない男たち</t>
  </si>
  <si>
    <t>村上春樹</t>
  </si>
  <si>
    <t>む５ー１４</t>
  </si>
  <si>
    <t>対論１９６８</t>
  </si>
  <si>
    <t>笠井潔</t>
  </si>
  <si>
    <t>１１４４Ｂ</t>
  </si>
  <si>
    <t>沈黙のパレード</t>
  </si>
  <si>
    <t>東野圭吾</t>
  </si>
  <si>
    <t>ひ１３ー１３</t>
  </si>
  <si>
    <t>病気と治療の文化人類学</t>
  </si>
  <si>
    <t>波平恵美子</t>
  </si>
  <si>
    <t>ナー３４ー１</t>
  </si>
  <si>
    <t>バガヴァッド・ギーター　ヒンドゥー教の聖典</t>
  </si>
  <si>
    <t>佐藤裕之（文学）</t>
  </si>
  <si>
    <t>Ｇ２０８ー１</t>
  </si>
  <si>
    <t>宗教</t>
  </si>
  <si>
    <t>戦争は女の顔をしていない</t>
  </si>
  <si>
    <t>スヴェトラーナ・アレクシエーヴィチ</t>
  </si>
  <si>
    <t>社会２９５</t>
  </si>
  <si>
    <t>地域衰退</t>
  </si>
  <si>
    <t>宮崎雅人</t>
  </si>
  <si>
    <t>新赤版１８６４</t>
  </si>
  <si>
    <t>歴史像を伝える</t>
  </si>
  <si>
    <t>成田龍一</t>
  </si>
  <si>
    <t>新赤版１９１８</t>
  </si>
  <si>
    <t>異邦人</t>
  </si>
  <si>
    <t>アルベール・カミュ</t>
  </si>
  <si>
    <t>カー２ー１</t>
  </si>
  <si>
    <t>治療文化論</t>
  </si>
  <si>
    <t>中井久夫</t>
  </si>
  <si>
    <t>Ｇ５２</t>
  </si>
  <si>
    <t>民主主義とは何か</t>
  </si>
  <si>
    <t>宇野重規</t>
  </si>
  <si>
    <t>ある男</t>
  </si>
  <si>
    <t>平野啓一郎</t>
  </si>
  <si>
    <t>ひー１９ー３</t>
  </si>
  <si>
    <t>モナドの領域</t>
  </si>
  <si>
    <t>筒井康隆</t>
  </si>
  <si>
    <t>つー４ー５６</t>
  </si>
  <si>
    <t>希望の糸</t>
  </si>
  <si>
    <t>ひ１７ー３６</t>
  </si>
  <si>
    <t>言語が違えば、世界も違って見えるわけ</t>
  </si>
  <si>
    <t>ガイ・ドイッチャー</t>
  </si>
  <si>
    <t>ＮＦ５８６</t>
  </si>
  <si>
    <t>語学総記</t>
  </si>
  <si>
    <t>道具としての微分方程式</t>
  </si>
  <si>
    <t>斎藤恭一</t>
  </si>
  <si>
    <t>Ｂー１０３７</t>
  </si>
  <si>
    <t>成熟スイッチ</t>
  </si>
  <si>
    <t>林真理子</t>
  </si>
  <si>
    <t>万民の法</t>
  </si>
  <si>
    <t>ジョン・ロールズ</t>
  </si>
  <si>
    <t>学術４５４</t>
  </si>
  <si>
    <t>文物に現れた北朝隋唐の仏教</t>
  </si>
  <si>
    <t>砺波護</t>
  </si>
  <si>
    <t>法蔵館</t>
  </si>
  <si>
    <t>映画を早送りで観る人たち</t>
  </si>
  <si>
    <t>稲田豊史</t>
  </si>
  <si>
    <t>現代語訳学問のすすめ</t>
  </si>
  <si>
    <t>福沢諭吉</t>
  </si>
  <si>
    <t>ドグラ・マグラ　上</t>
  </si>
  <si>
    <t>夢野久作</t>
  </si>
  <si>
    <t>イエス伝</t>
  </si>
  <si>
    <t>若松英輔</t>
  </si>
  <si>
    <t>わ２６ー１</t>
  </si>
  <si>
    <t>砂糖の世界史</t>
  </si>
  <si>
    <t>川北稔</t>
  </si>
  <si>
    <t>私たちはどう学んでいるのか</t>
  </si>
  <si>
    <t>鈴木宏昭</t>
  </si>
  <si>
    <t>進路格差</t>
  </si>
  <si>
    <t>朝比奈なを</t>
  </si>
  <si>
    <t>旧約聖書がわかる本</t>
  </si>
  <si>
    <t>並木浩一</t>
  </si>
  <si>
    <t>河出書房新社</t>
  </si>
  <si>
    <t>シン・日本共産党宣言</t>
  </si>
  <si>
    <t>松竹伸幸</t>
  </si>
  <si>
    <t>泣きたくなるほど嬉しい日々に</t>
  </si>
  <si>
    <t>お９８ー１</t>
  </si>
  <si>
    <t>洋装の日本史</t>
  </si>
  <si>
    <t>刑部芳則</t>
  </si>
  <si>
    <t>集英社インターナショナル</t>
  </si>
  <si>
    <t>誰が農業を殺すのか</t>
  </si>
  <si>
    <t>窪田新之助</t>
  </si>
  <si>
    <t>今を生きる思想　宇沢弘文　新たなる資本主義の道を求めて</t>
  </si>
  <si>
    <t>佐々木実</t>
  </si>
  <si>
    <t>データ分析の力因果関係に迫る思考法</t>
  </si>
  <si>
    <t>伊藤公一朗</t>
  </si>
  <si>
    <t>はるか</t>
  </si>
  <si>
    <t>やー８１ー２</t>
  </si>
  <si>
    <t>発想法</t>
  </si>
  <si>
    <t>川喜田二郎</t>
  </si>
  <si>
    <t>ハンナ・アレント　全体主義という悪夢</t>
  </si>
  <si>
    <t>牧野雅彦</t>
  </si>
  <si>
    <t>生物を分けると世界が分かる分類すると見えてくる、生物進化と地球の変遷</t>
  </si>
  <si>
    <t>岡西政典</t>
  </si>
  <si>
    <t>Ｂー２２０８</t>
  </si>
  <si>
    <t>司馬遼太郎の時代</t>
  </si>
  <si>
    <t>福間良明</t>
  </si>
  <si>
    <t>ドイツ・ナショナリズム</t>
  </si>
  <si>
    <t>今野元</t>
  </si>
  <si>
    <t>中国哲学史</t>
  </si>
  <si>
    <t>中島隆博</t>
  </si>
  <si>
    <t>流浪の月</t>
  </si>
  <si>
    <t>凪良ゆう</t>
  </si>
  <si>
    <t>ＬＡーなー１ー１</t>
  </si>
  <si>
    <t>東京創元社</t>
  </si>
  <si>
    <t>希望格差社会</t>
  </si>
  <si>
    <t>山田昌弘</t>
  </si>
  <si>
    <t>や３２ー１</t>
  </si>
  <si>
    <t>思想史講義【明治篇】　１</t>
  </si>
  <si>
    <t>国鉄ー「日本最大の企業」の栄光と崩壊</t>
  </si>
  <si>
    <t>石井幸孝</t>
  </si>
  <si>
    <t>年収４４３万円　安すぎる国の絶望的な生活</t>
  </si>
  <si>
    <t>小林美希</t>
  </si>
  <si>
    <t>流山がすごい</t>
  </si>
  <si>
    <t>大西康之</t>
  </si>
  <si>
    <t>アメリカの大学生が学んでいる本物の教養</t>
  </si>
  <si>
    <t>斉藤淳</t>
  </si>
  <si>
    <t>発達障害の人には世界がどう見えるのか</t>
  </si>
  <si>
    <t>井手正和</t>
  </si>
  <si>
    <t>道徳および立法の諸原理序説　下</t>
  </si>
  <si>
    <t>ジェレミー・ベンサム</t>
  </si>
  <si>
    <t>ヘー１３ー２</t>
  </si>
  <si>
    <t>夫婦格差社会</t>
  </si>
  <si>
    <t>人間失格</t>
  </si>
  <si>
    <t>太宰治</t>
  </si>
  <si>
    <t>たー２ー５</t>
  </si>
  <si>
    <t>サイエンス・ファクト　科学的根拠が信頼できない訳</t>
  </si>
  <si>
    <t>ガレス・レン</t>
  </si>
  <si>
    <t>ニュートンプレス</t>
  </si>
  <si>
    <t>移民と日本社会</t>
  </si>
  <si>
    <t>永吉希久子</t>
  </si>
  <si>
    <t>ジェンダーレスの日本史</t>
  </si>
  <si>
    <t>大?ひかり</t>
  </si>
  <si>
    <t>はじめてのスピノザ</t>
  </si>
  <si>
    <t>地方自治のしくみがわかる本</t>
  </si>
  <si>
    <t>村林守</t>
  </si>
  <si>
    <t>星の王子さま</t>
  </si>
  <si>
    <t>アントアーヌ・ド・サン・テグジュペリ</t>
  </si>
  <si>
    <t>サー１ー３</t>
  </si>
  <si>
    <t>道徳および立法の諸原理序説　上</t>
  </si>
  <si>
    <t>ヘー１３ー１</t>
  </si>
  <si>
    <t>蜜蜂と遠雷　下</t>
  </si>
  <si>
    <t>恩田陸</t>
  </si>
  <si>
    <t>おー７ー１５</t>
  </si>
  <si>
    <t>ミクロ経済学入門の入門</t>
  </si>
  <si>
    <t>坂井豊貴</t>
  </si>
  <si>
    <t>新赤版１６５７</t>
  </si>
  <si>
    <t>岸辺露伴は倒れない</t>
  </si>
  <si>
    <t>荒木飛呂彦</t>
  </si>
  <si>
    <t>儚い羊たちの祝宴</t>
  </si>
  <si>
    <t>よー３３ー２</t>
  </si>
  <si>
    <t>サラゴサ手稿　上</t>
  </si>
  <si>
    <t>赤Ｎ５１９ー１</t>
  </si>
  <si>
    <t>原子・原子核・原子力</t>
  </si>
  <si>
    <t>山本義隆</t>
  </si>
  <si>
    <t>学術４５５</t>
  </si>
  <si>
    <t>孫子ー「兵法の真髄」を読む</t>
  </si>
  <si>
    <t>渡邉義浩</t>
  </si>
  <si>
    <t>人間の条件</t>
  </si>
  <si>
    <t>ハンナ・アーレント</t>
  </si>
  <si>
    <t>ア７ー１</t>
  </si>
  <si>
    <t>宗教を「信じる」とはどういうことか</t>
  </si>
  <si>
    <t>石川明人</t>
  </si>
  <si>
    <t>一九八四年</t>
  </si>
  <si>
    <t>ジョージ・オーウェル</t>
  </si>
  <si>
    <t>ｅｐｉ　５３</t>
  </si>
  <si>
    <t>風の歌を聴け</t>
  </si>
  <si>
    <t>む６ー２２</t>
  </si>
  <si>
    <t>東京２３区×格差と階級</t>
  </si>
  <si>
    <t>噛みあわない会話と、ある過去について</t>
  </si>
  <si>
    <t>つ２８ー２１</t>
  </si>
  <si>
    <t>世界のマネージョーク集</t>
  </si>
  <si>
    <t>早坂隆</t>
  </si>
  <si>
    <t>ギリシア芸術模倣論</t>
  </si>
  <si>
    <t>ヴィンケルマン</t>
  </si>
  <si>
    <t>青５８６ー１</t>
  </si>
  <si>
    <t>芸術総記</t>
  </si>
  <si>
    <t>「美食地質学」入門</t>
  </si>
  <si>
    <t>巽好幸</t>
  </si>
  <si>
    <t>世界で最初に飢えるのは日本　食の安全保障をどう守るか</t>
  </si>
  <si>
    <t>鈴木宣弘</t>
  </si>
  <si>
    <t>８６０ー１Ｃ</t>
  </si>
  <si>
    <t>君たちはどう生きるか</t>
  </si>
  <si>
    <t>吉野源三郎</t>
  </si>
  <si>
    <t>勉強の哲学</t>
  </si>
  <si>
    <t>ちー９ー１</t>
  </si>
  <si>
    <t>世界史の考え方</t>
  </si>
  <si>
    <t>小川幸司</t>
  </si>
  <si>
    <t>新赤版１９１７</t>
  </si>
  <si>
    <t>人種主義の歴史</t>
  </si>
  <si>
    <t>平野千果子</t>
  </si>
  <si>
    <t>新赤版１９３０</t>
  </si>
  <si>
    <t>自転しながら公転する</t>
  </si>
  <si>
    <t>山本文緒</t>
  </si>
  <si>
    <t>最新版大学生のためのレポート・論文術</t>
  </si>
  <si>
    <t>小笠原喜康</t>
  </si>
  <si>
    <t>イノセント・デイズ</t>
  </si>
  <si>
    <t>早見和真</t>
  </si>
  <si>
    <t>はー６８ー１</t>
  </si>
  <si>
    <t>朽ちるマンション老いる住民</t>
  </si>
  <si>
    <t>朝日新聞取材班</t>
  </si>
  <si>
    <t>私たちの想像力は資本主義を超えるか</t>
  </si>
  <si>
    <t>Ｊー１５３ー１</t>
  </si>
  <si>
    <t>親は選べないが人生は選べる</t>
  </si>
  <si>
    <t>高橋和巳</t>
  </si>
  <si>
    <t>地球星人</t>
  </si>
  <si>
    <t>むー１７ー３</t>
  </si>
  <si>
    <t>誰が国家を殺すのか</t>
  </si>
  <si>
    <t>塩野七生</t>
  </si>
  <si>
    <t>蜜蜂と遠雷　上</t>
  </si>
  <si>
    <t>おー７ー１４</t>
  </si>
  <si>
    <t>ＡＩの時代と法</t>
  </si>
  <si>
    <t>小塚荘一郎</t>
  </si>
  <si>
    <t>新赤版１８０９</t>
  </si>
  <si>
    <t>話の終わり</t>
  </si>
  <si>
    <t>リディア・デイヴィス</t>
  </si>
  <si>
    <t>ブラッドランド　上</t>
  </si>
  <si>
    <t>ティモシー・スナイダー</t>
  </si>
  <si>
    <t>スー２９ー１</t>
  </si>
  <si>
    <t>窓ぎわのトットちゃん</t>
  </si>
  <si>
    <t>黒柳徹子</t>
  </si>
  <si>
    <t>く１０ー２</t>
  </si>
  <si>
    <t>社会人に絶対必要な語彙力が身につく本</t>
  </si>
  <si>
    <t>高村史司</t>
  </si>
  <si>
    <t>４６８ー１ーＥ</t>
  </si>
  <si>
    <t>韓くに文化ノオト</t>
  </si>
  <si>
    <t>小倉紀蔵</t>
  </si>
  <si>
    <t>おー７６ー１</t>
  </si>
  <si>
    <t>池上彰のやさしい経済学　２</t>
  </si>
  <si>
    <t>池上彰</t>
  </si>
  <si>
    <t>ニュースがわかる</t>
  </si>
  <si>
    <t>キャッチャー・イン・ザ・ライ</t>
  </si>
  <si>
    <t>ジェローム・デーヴィド・サリンジャー</t>
  </si>
  <si>
    <t>ノルウェイの森　上</t>
  </si>
  <si>
    <t>む６ー２３</t>
  </si>
  <si>
    <t>女性のいない民主主義</t>
  </si>
  <si>
    <t>前田健太郎</t>
  </si>
  <si>
    <t>新赤版１７９４</t>
  </si>
  <si>
    <t>プロテスタンティズムの倫理と資本主義の精神</t>
  </si>
  <si>
    <t>マックス・ヴェーバー</t>
  </si>
  <si>
    <t>３３ー２０９ー３</t>
  </si>
  <si>
    <t>小学校受験</t>
  </si>
  <si>
    <t>望月由起</t>
  </si>
  <si>
    <t>実録ドイツで決闘した日本人</t>
  </si>
  <si>
    <t>菅野瑞治也</t>
  </si>
  <si>
    <t>０７１１Ｎ</t>
  </si>
  <si>
    <t>人生はそれでも続く</t>
  </si>
  <si>
    <t>読売新聞社会部「あれから」取材班</t>
  </si>
  <si>
    <t>ドグラ・マグラ　下</t>
  </si>
  <si>
    <t>日本酒外交</t>
  </si>
  <si>
    <t>門司健次郎</t>
  </si>
  <si>
    <t>１１５０Ａ</t>
  </si>
  <si>
    <t>ヴィーガン探訪　肉も魚もハチミツも食べない生き方</t>
  </si>
  <si>
    <t>森映子</t>
  </si>
  <si>
    <t>Ｋー４１１</t>
  </si>
  <si>
    <t>日本共産党</t>
  </si>
  <si>
    <t>中北浩爾</t>
  </si>
  <si>
    <t>ウクライナ戦争と向き合う</t>
  </si>
  <si>
    <t>井上達夫</t>
  </si>
  <si>
    <t>信山社出版</t>
  </si>
  <si>
    <t>読解力をきたえる英語名文３０</t>
  </si>
  <si>
    <t>行方昭夫</t>
  </si>
  <si>
    <t>英米語</t>
  </si>
  <si>
    <t>いちねんかん</t>
  </si>
  <si>
    <t>畠中恵</t>
  </si>
  <si>
    <t>はー３７ー２１</t>
  </si>
  <si>
    <t>現代文解釈の基礎</t>
  </si>
  <si>
    <t>エー１７ー１</t>
  </si>
  <si>
    <t>日本社会のしくみ</t>
  </si>
  <si>
    <t>科学する心</t>
  </si>
  <si>
    <t>池澤夏樹</t>
  </si>
  <si>
    <t>Ｌー１３１ー１</t>
  </si>
  <si>
    <t>ゲームが教える世界の論点</t>
  </si>
  <si>
    <t>藤田直哉</t>
  </si>
  <si>
    <t>１１４９Ｆ</t>
  </si>
  <si>
    <t>天国はまだ遠く</t>
  </si>
  <si>
    <t>瀬尾まいこ</t>
  </si>
  <si>
    <t>せー１２ー１</t>
  </si>
  <si>
    <t>縛られる日本人</t>
  </si>
  <si>
    <t>メアリー・Ｃ．ブリントン</t>
  </si>
  <si>
    <t>今を生きる思想　エーリッヒ・フロム　孤独を恐れず自由に生きる</t>
  </si>
  <si>
    <t>岸見一郎</t>
  </si>
  <si>
    <t>すべてがＦになる</t>
  </si>
  <si>
    <t>森博嗣</t>
  </si>
  <si>
    <t>も２８ー１</t>
  </si>
  <si>
    <t>モチべーションの心理学</t>
  </si>
  <si>
    <t>鹿毛雅治</t>
  </si>
  <si>
    <t>ｍｅｄｉｕｍ　霊媒探偵城塚翡翠</t>
  </si>
  <si>
    <t>相沢沙呼</t>
  </si>
  <si>
    <t>あー１４７ー１</t>
  </si>
  <si>
    <t>桜のような僕の恋人</t>
  </si>
  <si>
    <t>宇山佳佑</t>
  </si>
  <si>
    <t>う２３ー２</t>
  </si>
  <si>
    <t>なめらかな社会とその敵</t>
  </si>
  <si>
    <t>鈴木健</t>
  </si>
  <si>
    <t>スー２８ー１</t>
  </si>
  <si>
    <t>ウィーン・フィルの哲学</t>
  </si>
  <si>
    <t>渋谷ゆう子</t>
  </si>
  <si>
    <t>変身</t>
  </si>
  <si>
    <t>フランツ・カフカ</t>
  </si>
  <si>
    <t>カー１ー１</t>
  </si>
  <si>
    <t>学び合い、発信する技術</t>
  </si>
  <si>
    <t>林直亨</t>
  </si>
  <si>
    <t>国際協力と多文化共生</t>
  </si>
  <si>
    <t>芹田健太郎</t>
  </si>
  <si>
    <t>ホモ・デウス　下</t>
  </si>
  <si>
    <t>ユヴァル・ノア・ハラリ</t>
  </si>
  <si>
    <t>ハ１５ー３</t>
  </si>
  <si>
    <t>盲目的な恋と友情</t>
  </si>
  <si>
    <t>つー２９ー５</t>
  </si>
  <si>
    <t>猫を棄てる　父親について語るとき</t>
  </si>
  <si>
    <t>む５ー１６</t>
  </si>
  <si>
    <t>実践健康食</t>
  </si>
  <si>
    <t>岩田健太郎</t>
  </si>
  <si>
    <t>自己正当化という病</t>
  </si>
  <si>
    <t>片田珠美</t>
  </si>
  <si>
    <t>祥伝社</t>
  </si>
  <si>
    <t>ユートピア</t>
  </si>
  <si>
    <t>みー５０ー２</t>
  </si>
  <si>
    <t>銀幕に愛をこめてぼくはゴジラの同期生</t>
  </si>
  <si>
    <t>宝田明</t>
  </si>
  <si>
    <t>たー９８ー１</t>
  </si>
  <si>
    <t>演劇映画</t>
  </si>
  <si>
    <t>宇宙を解くパズル　「真理」は直観に反している</t>
  </si>
  <si>
    <t>カムラン・バッファ</t>
  </si>
  <si>
    <t>Ｂー２２１５</t>
  </si>
  <si>
    <t>何者</t>
  </si>
  <si>
    <t>あー７８ー１</t>
  </si>
  <si>
    <t>首里の馬</t>
  </si>
  <si>
    <t>高山羽根子</t>
  </si>
  <si>
    <t>たー１３５ー１</t>
  </si>
  <si>
    <t>研究者としてうまくやっていくには</t>
  </si>
  <si>
    <t>長谷川修司</t>
  </si>
  <si>
    <t>Ｂー１９５１</t>
  </si>
  <si>
    <t>小国</t>
  </si>
  <si>
    <t>百瀬宏</t>
  </si>
  <si>
    <t>学術４５８</t>
  </si>
  <si>
    <t>うつほ物語　一</t>
  </si>
  <si>
    <t>室城秀之</t>
  </si>
  <si>
    <t>Ａ１７１ー１</t>
  </si>
  <si>
    <t>また、同じ夢を見ていた</t>
  </si>
  <si>
    <t>すー１２ー０２</t>
  </si>
  <si>
    <t>荒ぶるや</t>
  </si>
  <si>
    <t>佐伯泰英</t>
  </si>
  <si>
    <t>さー６３ー１７１</t>
  </si>
  <si>
    <t>ブラッドランド　下</t>
  </si>
  <si>
    <t>スー２９ー２</t>
  </si>
  <si>
    <t>奈良時代</t>
  </si>
  <si>
    <t>木本好信</t>
  </si>
  <si>
    <t>君たちが生き延びるために</t>
  </si>
  <si>
    <t>天童荒太</t>
  </si>
  <si>
    <t>ルポ特殊詐欺</t>
  </si>
  <si>
    <t>田崎基</t>
  </si>
  <si>
    <t>こうやって、考える。</t>
  </si>
  <si>
    <t>と７ー１６</t>
  </si>
  <si>
    <t>エンタメ小説家の失敗学</t>
  </si>
  <si>
    <t>平山瑞穂</t>
  </si>
  <si>
    <t>ファスト＆スロー　上</t>
  </si>
  <si>
    <t>ダニエル・カーネマン</t>
  </si>
  <si>
    <t>ＮＦ４１０</t>
  </si>
  <si>
    <t>アサーティブ・コミュニケーション</t>
  </si>
  <si>
    <t>戸田久実</t>
  </si>
  <si>
    <t>Ｉ７８</t>
  </si>
  <si>
    <t>生きていく絵</t>
  </si>
  <si>
    <t>荒井裕樹</t>
  </si>
  <si>
    <t>あー６６ー１</t>
  </si>
  <si>
    <t>絵画彫刻</t>
  </si>
  <si>
    <t>ウィトゲンシュタインのパラドックス</t>
  </si>
  <si>
    <t>ソール・Ａ．クリプキ</t>
  </si>
  <si>
    <t>クー３３ー１</t>
  </si>
  <si>
    <t>哲学はこんなふうに</t>
  </si>
  <si>
    <t>アンドレ・コント＝スポンヴィル</t>
  </si>
  <si>
    <t>コ１１ー１</t>
  </si>
  <si>
    <t>最強脳</t>
  </si>
  <si>
    <t>里地里山エネルギー</t>
  </si>
  <si>
    <t>河野博子</t>
  </si>
  <si>
    <t>競争社会の歩き方</t>
  </si>
  <si>
    <t>世界史の構造</t>
  </si>
  <si>
    <t>柄谷行人</t>
  </si>
  <si>
    <t>Ｇ３２３</t>
  </si>
  <si>
    <t>古代オリエント全史</t>
  </si>
  <si>
    <t>小林登志子</t>
  </si>
  <si>
    <t>Ｏ・ヘンリーニューヨーク小説集　街の夢</t>
  </si>
  <si>
    <t>オー・ヘンリー</t>
  </si>
  <si>
    <t>おー７０ー２</t>
  </si>
  <si>
    <t>そして誰もいなくなった</t>
  </si>
  <si>
    <t>アガサ・クリスティ</t>
  </si>
  <si>
    <t>どうしても生きてる</t>
  </si>
  <si>
    <t>あー４９ー２</t>
  </si>
  <si>
    <t>相対性理論の起原　他四篇</t>
  </si>
  <si>
    <t>廣重徹</t>
  </si>
  <si>
    <t>青９５３ー１</t>
  </si>
  <si>
    <t>今こそ読みたいケインズ</t>
  </si>
  <si>
    <t>根井雅弘</t>
  </si>
  <si>
    <t>カラー図解アメリカ版新・大学生物学の教科書　第１巻</t>
  </si>
  <si>
    <t>Ｄ・サダヴァ</t>
  </si>
  <si>
    <t>Ｂー２１６３</t>
  </si>
  <si>
    <t>細胞生物学</t>
  </si>
  <si>
    <t>ペアレントクラシー　「親格差時代」の衝撃</t>
  </si>
  <si>
    <t>最新の脳科学と心理学で高まる集中力の科学</t>
  </si>
  <si>
    <t>ステファン・ファン・デル・スティッヘル</t>
  </si>
  <si>
    <t>ケアとは何か</t>
  </si>
  <si>
    <t>村上靖彦</t>
  </si>
  <si>
    <t>華氏４５１度</t>
  </si>
  <si>
    <t>レイ・ブラッドベリ</t>
  </si>
  <si>
    <t>ＳＦ１９５５</t>
  </si>
  <si>
    <t>ぬいぐるみとしゃべる人はやさしい</t>
  </si>
  <si>
    <t>大前粟生</t>
  </si>
  <si>
    <t>お４５ー１</t>
  </si>
  <si>
    <t>裏世界ピクニック　８</t>
  </si>
  <si>
    <t>宮澤伊織</t>
  </si>
  <si>
    <t>ＪＡミー１７ー９</t>
  </si>
  <si>
    <t>共犯者の終り</t>
  </si>
  <si>
    <t>近代日本外交史</t>
  </si>
  <si>
    <t>佐々木雄一</t>
  </si>
  <si>
    <t>子どもが教育を選ぶ時代へ</t>
  </si>
  <si>
    <t>野本響子</t>
  </si>
  <si>
    <t>１１０５Ｅ</t>
  </si>
  <si>
    <t>ＡＩ時代の新・ベーシックインカム論</t>
  </si>
  <si>
    <t>思想史講義【大正篇】</t>
  </si>
  <si>
    <t>数学と人間</t>
  </si>
  <si>
    <t>遠山啓</t>
  </si>
  <si>
    <t>と３８ー２</t>
  </si>
  <si>
    <t>書く力　加藤周一の名文に学ぶ</t>
  </si>
  <si>
    <t>鷲巣力</t>
  </si>
  <si>
    <t>１１３８Ｆ</t>
  </si>
  <si>
    <t>ナナメの夕暮れ</t>
  </si>
  <si>
    <t>若林正恭</t>
  </si>
  <si>
    <t>わー２５ー２</t>
  </si>
  <si>
    <t>史的システムとしての資本主義</t>
  </si>
  <si>
    <t>ウォーラーステイン</t>
  </si>
  <si>
    <t>青Ｎ４０１ー１</t>
  </si>
  <si>
    <t>ソクラテスの思い出</t>
  </si>
  <si>
    <t>クセノフォン</t>
  </si>
  <si>
    <t>ＫーＢクー１ー１</t>
  </si>
  <si>
    <t>カラー図解脳の教科書　はじめての「脳科学」入門</t>
  </si>
  <si>
    <t>三上章允</t>
  </si>
  <si>
    <t>Ｂー２２１６</t>
  </si>
  <si>
    <t>海辺のカフカ　下巻</t>
  </si>
  <si>
    <t>むー５ー２５</t>
  </si>
  <si>
    <t>教養の語源英単語</t>
  </si>
  <si>
    <t>清水建二</t>
  </si>
  <si>
    <t>雪国</t>
  </si>
  <si>
    <t>川端康成</t>
  </si>
  <si>
    <t>かー１ー１</t>
  </si>
  <si>
    <t>夜のピクニック</t>
  </si>
  <si>
    <t>おー４８ー６</t>
  </si>
  <si>
    <t>サラゴサ手稿　中</t>
  </si>
  <si>
    <t>赤Ｎ５１９ー２</t>
  </si>
  <si>
    <t>ファスト＆スロー　下</t>
  </si>
  <si>
    <t>ＮＦ４１１</t>
  </si>
  <si>
    <t>向日葵の咲かない夏</t>
  </si>
  <si>
    <t>道尾秀介</t>
  </si>
  <si>
    <t>みー４０ー１</t>
  </si>
  <si>
    <t>予想どおりに不合理</t>
  </si>
  <si>
    <t>ダン・アリエリー</t>
  </si>
  <si>
    <t>ＮＦ３９１</t>
  </si>
  <si>
    <t>「友だち」から自由になる</t>
  </si>
  <si>
    <t>石田光規</t>
  </si>
  <si>
    <t>これからの「正義」の話をしよう</t>
  </si>
  <si>
    <t>マイケル・Ｊ．サンデル</t>
  </si>
  <si>
    <t>ＮＦ３７６</t>
  </si>
  <si>
    <t>発達障害「グレーゾーン」その正しい理解と克服法</t>
  </si>
  <si>
    <t>岡田尊司</t>
  </si>
  <si>
    <t>学問のすゝめ</t>
  </si>
  <si>
    <t>３３ー１０２ー３</t>
  </si>
  <si>
    <t>「推し」の科学プロジェクション・サイエンスとは何か</t>
  </si>
  <si>
    <t>久保（川合）南海子</t>
  </si>
  <si>
    <t>１１２７Ｇ</t>
  </si>
  <si>
    <t>差別は思いやりでは解決しないジェンダーやＬＧＢＴＱから考える</t>
  </si>
  <si>
    <t>神谷悠一</t>
  </si>
  <si>
    <t>１１２６Ｂ</t>
  </si>
  <si>
    <t>オックスフォード大教授が問う思考停止社会ニッポン</t>
  </si>
  <si>
    <t>苅谷剛彦</t>
  </si>
  <si>
    <t>日本中世の民衆世界</t>
  </si>
  <si>
    <t>三枝暁子</t>
  </si>
  <si>
    <t>新赤版　１９４２</t>
  </si>
  <si>
    <t>大東亜共栄圏</t>
  </si>
  <si>
    <t>安達宏昭</t>
  </si>
  <si>
    <t>ドイツ人はなぜ、年収アップと環境対策を両立できるのか</t>
  </si>
  <si>
    <t>熊谷徹</t>
  </si>
  <si>
    <t>ＰＩー６６２</t>
  </si>
  <si>
    <t>私たちの金曜日</t>
  </si>
  <si>
    <t>有川ひろ</t>
  </si>
  <si>
    <t>あー２５０ー２</t>
  </si>
  <si>
    <t>「鬱屈」の時代をよむ</t>
  </si>
  <si>
    <t>今野真二</t>
  </si>
  <si>
    <t>１１４７Ｆ</t>
  </si>
  <si>
    <t>死にゆく者の祈り</t>
  </si>
  <si>
    <t>中山七里</t>
  </si>
  <si>
    <t>なー９８ー２</t>
  </si>
  <si>
    <t>すべて真夜中の恋人たち</t>
  </si>
  <si>
    <t>川上未映子</t>
  </si>
  <si>
    <t>か１１２ー４</t>
  </si>
  <si>
    <t>わが殿　上</t>
  </si>
  <si>
    <t>はー３７ー３０</t>
  </si>
  <si>
    <t>まぬけなこよみ</t>
  </si>
  <si>
    <t>津村記久子</t>
  </si>
  <si>
    <t>つー１７ー４</t>
  </si>
  <si>
    <t>実践自分で調べる技術</t>
  </si>
  <si>
    <t>宮内泰介</t>
  </si>
  <si>
    <t>新赤版１８５３</t>
  </si>
  <si>
    <t>社会主義前夜</t>
  </si>
  <si>
    <t>中嶋洋平</t>
  </si>
  <si>
    <t>失敗の本質</t>
  </si>
  <si>
    <t>戸部良一</t>
  </si>
  <si>
    <t>とー１８ー１</t>
  </si>
  <si>
    <t>知的複眼思考法</t>
  </si>
  <si>
    <t>Ｇ７４・１</t>
  </si>
  <si>
    <t>ホモ・デウス　上</t>
  </si>
  <si>
    <t>ハ１５ー２</t>
  </si>
  <si>
    <t>第三次世界大戦はもう始まっている</t>
  </si>
  <si>
    <t>エマニュエル・トッド</t>
  </si>
  <si>
    <t>魔術師</t>
  </si>
  <si>
    <t>江戸川乱歩</t>
  </si>
  <si>
    <t>えー１１ー４</t>
  </si>
  <si>
    <t>応援消費</t>
  </si>
  <si>
    <t>水越康介</t>
  </si>
  <si>
    <t>新赤版１９３４</t>
  </si>
  <si>
    <t>カラー図解アメリカ版新・大学生物学の教科書　第２巻</t>
  </si>
  <si>
    <t>デイヴィッド・サダヴァ</t>
  </si>
  <si>
    <t>Ｂー２１６４</t>
  </si>
  <si>
    <t>分子遺伝学</t>
  </si>
  <si>
    <t>言語学を学ぶ</t>
  </si>
  <si>
    <t>千野栄一</t>
  </si>
  <si>
    <t>チー６ー１</t>
  </si>
  <si>
    <t>〈あの絵〉のまえで</t>
  </si>
  <si>
    <t>はー２５ー６</t>
  </si>
  <si>
    <t>日本インテリジェンス史</t>
  </si>
  <si>
    <t>小谷賢</t>
  </si>
  <si>
    <t>功利主義</t>
  </si>
  <si>
    <t>ジョン・ステュアート・ミル</t>
  </si>
  <si>
    <t>白１１６ー１１</t>
  </si>
  <si>
    <t>九鬼周造</t>
  </si>
  <si>
    <t>田中久文</t>
  </si>
  <si>
    <t>オ１ー３</t>
  </si>
  <si>
    <t>フーガはユーガ</t>
  </si>
  <si>
    <t>いー１２ー２</t>
  </si>
  <si>
    <t>実業之日本社</t>
  </si>
  <si>
    <t>これは経費で落ちません！　１０</t>
  </si>
  <si>
    <t>青木祐子</t>
  </si>
  <si>
    <t>あー３ー１１</t>
  </si>
  <si>
    <t>帝国日本のプロパガンダ</t>
  </si>
  <si>
    <t>貴志俊彦</t>
  </si>
  <si>
    <t>人新世の科学</t>
  </si>
  <si>
    <t>オズワルド・シュミッツ</t>
  </si>
  <si>
    <t>新赤版１９２２</t>
  </si>
  <si>
    <t>しあわせのねだん</t>
  </si>
  <si>
    <t>角田光代</t>
  </si>
  <si>
    <t>かー３８ー５</t>
  </si>
  <si>
    <t>どうしても頑張れない人たち</t>
  </si>
  <si>
    <t>宮口幸治</t>
  </si>
  <si>
    <t>個性という幻想</t>
  </si>
  <si>
    <t>ハリー・スタック・サリヴァン</t>
  </si>
  <si>
    <t>バカの壁</t>
  </si>
  <si>
    <t>養老孟司</t>
  </si>
  <si>
    <t>死んでたまるか</t>
  </si>
  <si>
    <t>団鬼六</t>
  </si>
  <si>
    <t>たー９９ー１</t>
  </si>
  <si>
    <t>わが殿　下</t>
  </si>
  <si>
    <t>はー３７ー３１</t>
  </si>
  <si>
    <t>１日４分世界標準の科学的トレーニング　今日から始める「タバタトレーニング」</t>
  </si>
  <si>
    <t>田畑泉</t>
  </si>
  <si>
    <t>Ｂ２２１３</t>
  </si>
  <si>
    <t>体育スポ</t>
  </si>
  <si>
    <t>ダンジョンに出会いを求めるのは間違っているだろうか　１８</t>
  </si>
  <si>
    <t>大森藤ノ</t>
  </si>
  <si>
    <t>おー０８ー３５</t>
  </si>
  <si>
    <t>正義への責任</t>
  </si>
  <si>
    <t>アイリス・マリオン・ヤング</t>
  </si>
  <si>
    <t>学術４４７</t>
  </si>
  <si>
    <t>か「」く「」し「」ご「」と「</t>
  </si>
  <si>
    <t>すー２９ー１</t>
  </si>
  <si>
    <t>４０人の神経科学者に脳のいちばん面白いところを聞いてみた</t>
  </si>
  <si>
    <t>デイヴィッド・Ｊ．リンデン</t>
  </si>
  <si>
    <t>リ３ー４</t>
  </si>
  <si>
    <t>ツナグ</t>
  </si>
  <si>
    <t>つー２９ー１</t>
  </si>
  <si>
    <t>現代語訳南海寄帰内法伝</t>
  </si>
  <si>
    <t>義浄</t>
  </si>
  <si>
    <t>ぎー１ー１</t>
  </si>
  <si>
    <t>仏教</t>
  </si>
  <si>
    <t>ノルウェイの森　下</t>
  </si>
  <si>
    <t>む６ー２４</t>
  </si>
  <si>
    <t>芭蕉のあそび</t>
  </si>
  <si>
    <t>深沢眞二</t>
  </si>
  <si>
    <t>新赤版　１９４９</t>
  </si>
  <si>
    <t>罪の轍</t>
  </si>
  <si>
    <t>奥田英朗</t>
  </si>
  <si>
    <t>おー７２ー３</t>
  </si>
  <si>
    <t>満願</t>
  </si>
  <si>
    <t>よー３３ー４</t>
  </si>
  <si>
    <t>ケーキの切れない非行少年たち</t>
  </si>
  <si>
    <t>デトロイト美術館の奇跡</t>
  </si>
  <si>
    <t>はー６３ー３</t>
  </si>
  <si>
    <t>韓国併合</t>
  </si>
  <si>
    <t>森万佑子</t>
  </si>
  <si>
    <t>生物から見た世界</t>
  </si>
  <si>
    <t>ヤーコプ・フォン・ユクスキュル</t>
  </si>
  <si>
    <t>３３ー９４３ー１</t>
  </si>
  <si>
    <t>ぼけの壁</t>
  </si>
  <si>
    <t>和田秀樹（心理・教育評論家）</t>
  </si>
  <si>
    <t>ソ連核開発全史</t>
  </si>
  <si>
    <t>市川浩</t>
  </si>
  <si>
    <t>ＬＧＢＴを読みとく</t>
  </si>
  <si>
    <t>森山至貴</t>
  </si>
  <si>
    <t>博士の愛した数式</t>
  </si>
  <si>
    <t>小川洋子（小説家）</t>
  </si>
  <si>
    <t>おー４５ー３</t>
  </si>
  <si>
    <t>靴に棲む老婆</t>
  </si>
  <si>
    <t>エラリ・クイーン</t>
  </si>
  <si>
    <t>大地の五億年</t>
  </si>
  <si>
    <t>藤井一至</t>
  </si>
  <si>
    <t>山と渓谷社</t>
  </si>
  <si>
    <t>子どもの心はどう育つのか</t>
  </si>
  <si>
    <t>佐々木正美</t>
  </si>
  <si>
    <t>「利他」とは何か</t>
  </si>
  <si>
    <t>伊藤亜紗</t>
  </si>
  <si>
    <t>１０５８Ｃ</t>
  </si>
  <si>
    <t>欧州連合</t>
  </si>
  <si>
    <t>庄司克宏</t>
  </si>
  <si>
    <t>新赤版１０９９</t>
  </si>
  <si>
    <t>菅江真澄　図絵の旅</t>
  </si>
  <si>
    <t>菅江真澄</t>
  </si>
  <si>
    <t>Ｊー１３８ー１</t>
  </si>
  <si>
    <t>学校の中の発達障害</t>
  </si>
  <si>
    <t>本田秀夫</t>
  </si>
  <si>
    <t>禁断の進化史</t>
  </si>
  <si>
    <t>更科功</t>
  </si>
  <si>
    <t>虐待したことを否定する親たち</t>
  </si>
  <si>
    <t>宮口智恵</t>
  </si>
  <si>
    <t>満州事変から日中戦争へ</t>
  </si>
  <si>
    <t>加藤陽子（日本近代史）</t>
  </si>
  <si>
    <t>新赤版１０４６</t>
  </si>
  <si>
    <t>ケルトの世界</t>
  </si>
  <si>
    <t>疋田隆康</t>
  </si>
  <si>
    <t>教育格差</t>
  </si>
  <si>
    <t>松岡亮二</t>
  </si>
  <si>
    <t>科学の哲学　世界を一変したブレイクスルーの思考法</t>
  </si>
  <si>
    <t>豆の上で眠る</t>
  </si>
  <si>
    <t>みー５６ー２</t>
  </si>
  <si>
    <t>重力ピエロ</t>
  </si>
  <si>
    <t>いー６９ー３</t>
  </si>
  <si>
    <t>エチカ　下</t>
  </si>
  <si>
    <t>バルーフ・ド・スピノザ</t>
  </si>
  <si>
    <t>３３ー６１５ー５</t>
  </si>
  <si>
    <t>ひと</t>
  </si>
  <si>
    <t>小野寺史宜</t>
  </si>
  <si>
    <t>お２５ー３</t>
  </si>
  <si>
    <t>５Ｇ</t>
  </si>
  <si>
    <t>森川博之</t>
  </si>
  <si>
    <t>新赤版１８３１</t>
  </si>
  <si>
    <t>人魚の眠る家</t>
  </si>
  <si>
    <t>ひー１７ー２</t>
  </si>
  <si>
    <t>人生の短さについて</t>
  </si>
  <si>
    <t>セネカ</t>
  </si>
  <si>
    <t>ＫーＢセー１ー１</t>
  </si>
  <si>
    <t>大学は何処へ未来への設計</t>
  </si>
  <si>
    <t>吉見俊哉</t>
  </si>
  <si>
    <t>新赤版１８７４</t>
  </si>
  <si>
    <t>東大教授が教える独学勉強法</t>
  </si>
  <si>
    <t>柳川範之</t>
  </si>
  <si>
    <t>や３ー１</t>
  </si>
  <si>
    <t>大人女子の小さなマナー帖</t>
  </si>
  <si>
    <t>横田真由子</t>
  </si>
  <si>
    <t>４６９ー１ーＥ</t>
  </si>
  <si>
    <t>子どもに学ぶ言葉の認知科学</t>
  </si>
  <si>
    <t>広瀬友紀</t>
  </si>
  <si>
    <t>日本の中絶</t>
  </si>
  <si>
    <t>塚原久美</t>
  </si>
  <si>
    <t>引き裂かれるアメリカ</t>
  </si>
  <si>
    <t>町山智浩</t>
  </si>
  <si>
    <t>ひとはなぜ戦争をするのか</t>
  </si>
  <si>
    <t>アルベルト・アインシュタイン</t>
  </si>
  <si>
    <t>二木先生</t>
  </si>
  <si>
    <t>夏木志朋</t>
  </si>
  <si>
    <t>な１７ー１</t>
  </si>
  <si>
    <t>フィナンシャル・レビュー　第１５０号</t>
  </si>
  <si>
    <t>財務省財務総合政策研究所</t>
  </si>
  <si>
    <t>翔ぶが如く　９</t>
  </si>
  <si>
    <t>司馬遼太郎</t>
  </si>
  <si>
    <t>し１ー１０２</t>
  </si>
  <si>
    <t>「対話と決断」で成果を生む話し合いの作法</t>
  </si>
  <si>
    <t>中原淳</t>
  </si>
  <si>
    <t>科学哲学への招待</t>
  </si>
  <si>
    <t>野家啓一</t>
  </si>
  <si>
    <t>ノ５ー２</t>
  </si>
  <si>
    <t>学校って何だろう</t>
  </si>
  <si>
    <t>か４６ー１</t>
  </si>
  <si>
    <t>道徳と宗教の二つの源泉</t>
  </si>
  <si>
    <t>アンリ・ベルクソン</t>
  </si>
  <si>
    <t>ヘ５ー４</t>
  </si>
  <si>
    <t>わたしの美しい庭</t>
  </si>
  <si>
    <t>な１６ー１</t>
  </si>
  <si>
    <t>火花</t>
  </si>
  <si>
    <t>又吉直樹</t>
  </si>
  <si>
    <t>ま３８ー１</t>
  </si>
  <si>
    <t>新・哲学入門</t>
  </si>
  <si>
    <t>竹田青嗣</t>
  </si>
  <si>
    <t>大人の学参まるわかり近現代史</t>
  </si>
  <si>
    <t>津野田興一</t>
  </si>
  <si>
    <t>迫りくる核リスク　〈核抑止〉を解体する</t>
  </si>
  <si>
    <t>吉田文彦</t>
  </si>
  <si>
    <t>新赤版　１９４６</t>
  </si>
  <si>
    <t>黒死館殺人事件・完全犯罪</t>
  </si>
  <si>
    <t>小栗虫太郎</t>
  </si>
  <si>
    <t>おー１００ー１</t>
  </si>
  <si>
    <t>世界食味紀行</t>
  </si>
  <si>
    <t>芦原伸</t>
  </si>
  <si>
    <t>高橋源一郎の飛ぶ教室</t>
  </si>
  <si>
    <t>高橋源一郎</t>
  </si>
  <si>
    <t>新赤版　１９４８</t>
  </si>
  <si>
    <t>ゴールデンスランバー</t>
  </si>
  <si>
    <t>いー６９ー６</t>
  </si>
  <si>
    <t>ウェルビーイング</t>
  </si>
  <si>
    <t>前野隆司</t>
  </si>
  <si>
    <t>日本の気候変動５０００万年史　四季のある気候はいかにして誕生したのか</t>
  </si>
  <si>
    <t>佐野貴司</t>
  </si>
  <si>
    <t>Ｂ２２１２</t>
  </si>
  <si>
    <t>生きづらい明治社会</t>
  </si>
  <si>
    <t>松沢裕作</t>
  </si>
  <si>
    <t>きみはポラリス</t>
  </si>
  <si>
    <t>三浦しをん</t>
  </si>
  <si>
    <t>みー３４ー１０</t>
  </si>
  <si>
    <t>宇宙の終わりに何が起こるのか　最新理論が予言する「５つの終末シナリオ」</t>
  </si>
  <si>
    <t>ケイティ・マック</t>
  </si>
  <si>
    <t>Ｂー２２１８</t>
  </si>
  <si>
    <t>新体系・大学数学入門の教科書　上</t>
  </si>
  <si>
    <t>芳沢光雄</t>
  </si>
  <si>
    <t>Ｂー２２０６</t>
  </si>
  <si>
    <t>山のリスクとどう向き合うか</t>
  </si>
  <si>
    <t>羽根田治</t>
  </si>
  <si>
    <t>現代アートはすごい</t>
  </si>
  <si>
    <t>布施英利</t>
  </si>
  <si>
    <t>世界の終りとハードボイルド・ワンダーランド　上巻</t>
  </si>
  <si>
    <t>むー５ー４</t>
  </si>
  <si>
    <t>日の名残り</t>
  </si>
  <si>
    <t>カズオ・イシグロ</t>
  </si>
  <si>
    <t>ｅｐｉ　３</t>
  </si>
  <si>
    <t>新地方論</t>
  </si>
  <si>
    <t>小松理虔</t>
  </si>
  <si>
    <t>憲法</t>
  </si>
  <si>
    <t>鵜飼信成</t>
  </si>
  <si>
    <t>白３５ー１</t>
  </si>
  <si>
    <t>マスカレード・ナイト</t>
  </si>
  <si>
    <t>ひー１５ー１２</t>
  </si>
  <si>
    <t>指導者（リーダー）の不条理</t>
  </si>
  <si>
    <t>菊澤研宗</t>
  </si>
  <si>
    <t>疫病と人類</t>
  </si>
  <si>
    <t>山本太郎</t>
  </si>
  <si>
    <t>いかに生き、いかに死ぬべきか　哲学者スピノザの叡智</t>
  </si>
  <si>
    <t>スティーヴン・ナドラー</t>
  </si>
  <si>
    <t>日本人はなぜ無宗教なのか</t>
  </si>
  <si>
    <t>阿満利麿</t>
  </si>
  <si>
    <t>氷菓</t>
  </si>
  <si>
    <t>生命とは何か</t>
  </si>
  <si>
    <t>エルヴィン・シュレーディンガー</t>
  </si>
  <si>
    <t>３３ー９４６ー１</t>
  </si>
  <si>
    <t>ネイティヴ・サン</t>
  </si>
  <si>
    <t>リチャード・ライト</t>
  </si>
  <si>
    <t>ラー２０ー１</t>
  </si>
  <si>
    <t>ＬａＴｅＸ超入門</t>
  </si>
  <si>
    <t>水谷正大</t>
  </si>
  <si>
    <t>Ｂー２１４５</t>
  </si>
  <si>
    <t>情報科学</t>
  </si>
  <si>
    <t>老人と海</t>
  </si>
  <si>
    <t>アーネスト・ヘミングウェイ</t>
  </si>
  <si>
    <t>へー２ー４</t>
  </si>
  <si>
    <t>斜陽</t>
  </si>
  <si>
    <t>たー２ー２</t>
  </si>
  <si>
    <t>エチカ　上</t>
  </si>
  <si>
    <t>３３ー６１５ー４</t>
  </si>
  <si>
    <t>大学４年間の哲学が１０時間でざっと学べる</t>
  </si>
  <si>
    <t>貫成人</t>
  </si>
  <si>
    <t>ぬ３ー１</t>
  </si>
  <si>
    <t>「常識」が通じない世界で日本人はどう生きるか</t>
  </si>
  <si>
    <t>ジョージ・ソロス</t>
  </si>
  <si>
    <t>宝島社</t>
  </si>
  <si>
    <t>新釈走れメロス</t>
  </si>
  <si>
    <t>書籍 選択Ｃ分類数：24</t>
  </si>
  <si>
    <t>叢書名（漢字）</t>
  </si>
  <si>
    <t>チェンソーマン　１３</t>
  </si>
  <si>
    <t>藤本タツキ</t>
  </si>
  <si>
    <t>ジャンプコミックス</t>
  </si>
  <si>
    <t>雑誌扱い</t>
  </si>
  <si>
    <t>コミック</t>
  </si>
  <si>
    <t>キングダム　６７</t>
  </si>
  <si>
    <t>原泰久</t>
  </si>
  <si>
    <t>ヤングジャンプコミックス</t>
  </si>
  <si>
    <t>東京卍リベンジャーズ　３１</t>
  </si>
  <si>
    <t>和久井健</t>
  </si>
  <si>
    <t>少年マガジンＫＣ</t>
  </si>
  <si>
    <t>ミステリと言う勿れ　１２</t>
  </si>
  <si>
    <t>田村由美</t>
  </si>
  <si>
    <t>フラワーコミックスα　フラワーズ</t>
  </si>
  <si>
    <t>推しの子　１０</t>
  </si>
  <si>
    <t>赤坂アカ</t>
  </si>
  <si>
    <t>呪術廻戦　２１</t>
  </si>
  <si>
    <t>芥見下々</t>
  </si>
  <si>
    <t>かぐや様は告らせたい～天才たちの恋愛頭脳戦～　２８</t>
  </si>
  <si>
    <t>宇宙兄弟　４２</t>
  </si>
  <si>
    <t>小山宙哉</t>
  </si>
  <si>
    <t>モーニングＫＣ</t>
  </si>
  <si>
    <t>最新版論文の教室</t>
  </si>
  <si>
    <t>戸田山和久</t>
  </si>
  <si>
    <t>ＮＨＫ　ＢＯＯＫＳ</t>
  </si>
  <si>
    <t>全集</t>
  </si>
  <si>
    <t>6104:論文・書く技術</t>
  </si>
  <si>
    <t>古見さんは、コミュ症です。　２８</t>
  </si>
  <si>
    <t>オダトモヒト</t>
  </si>
  <si>
    <t>少年サンデーコミックス</t>
  </si>
  <si>
    <t>ユリイカ　０１　２０２３（第５５巻第１号</t>
  </si>
  <si>
    <t>青土社</t>
  </si>
  <si>
    <t>ムック他</t>
  </si>
  <si>
    <t>文学総記</t>
  </si>
  <si>
    <t>逃げ上手の若君　９</t>
  </si>
  <si>
    <t>松井優征</t>
  </si>
  <si>
    <t>ユリイカ　２０２３年１月臨時増刊号</t>
  </si>
  <si>
    <t>超人Ｘ　５</t>
  </si>
  <si>
    <t>石田スイ</t>
  </si>
  <si>
    <t>因果推論の科学</t>
  </si>
  <si>
    <t>ジューディア・パール</t>
  </si>
  <si>
    <t>単行</t>
  </si>
  <si>
    <t>外文・他</t>
  </si>
  <si>
    <t>夏目友人帳　２９</t>
  </si>
  <si>
    <t>緑川ゆき</t>
  </si>
  <si>
    <t>白泉社</t>
  </si>
  <si>
    <t>花とゆめコミックス　ＬａＬａ</t>
  </si>
  <si>
    <t>ウィッチウォッチ　９</t>
  </si>
  <si>
    <t>篠原健太</t>
  </si>
  <si>
    <t>ブルーロック　２２</t>
  </si>
  <si>
    <t>金城宗幸</t>
  </si>
  <si>
    <t>チェンソーマン　１２</t>
  </si>
  <si>
    <t>東京卍リベンジャーズ～場地圭介からの手紙～　２</t>
  </si>
  <si>
    <t>文豪ストレイドッグス　２３</t>
  </si>
  <si>
    <t>朝霧カフカ</t>
  </si>
  <si>
    <t>Ｋａｄｏｋａｗａ　Ｃｏｍｉｃｓ　Ａ</t>
  </si>
  <si>
    <t>ＴＨＥ　ＦＩＲＳＴ　ＳＬＡＭ　ＤＵＮＫ　ｒｅ：ＳＯＵＲＣＥ</t>
  </si>
  <si>
    <t>井上雄彦</t>
  </si>
  <si>
    <t>愛蔵版コミックス</t>
  </si>
  <si>
    <t>本の雑誌　４７６号（２０２３年２月号）</t>
  </si>
  <si>
    <t>本の雑誌編集部</t>
  </si>
  <si>
    <t>本の雑誌社</t>
  </si>
  <si>
    <t>ラヴェル《ボレロ》</t>
  </si>
  <si>
    <t>遠山菜穂美</t>
  </si>
  <si>
    <t>全音楽譜出版社</t>
  </si>
  <si>
    <t>ｚｅｎーｏｎ　ｓｃｏｒｅ</t>
  </si>
  <si>
    <t>この世の喜びよ</t>
  </si>
  <si>
    <t>井戸川射子</t>
  </si>
  <si>
    <t>津波！！命を救った稲むらの火</t>
  </si>
  <si>
    <t>ラフカディオ・ハーン（小泉八雲）</t>
  </si>
  <si>
    <t>汐文社</t>
  </si>
  <si>
    <t>児童</t>
  </si>
  <si>
    <t>絵本</t>
  </si>
  <si>
    <t>ロビンソン・クルーソー</t>
  </si>
  <si>
    <t>ダニエル・デフォー</t>
  </si>
  <si>
    <t>学研プラス</t>
  </si>
  <si>
    <t>１０歳までに読みたい世界名作</t>
  </si>
  <si>
    <t>格差の起源</t>
  </si>
  <si>
    <t>オデッド・ガロー</t>
  </si>
  <si>
    <t>黙示録の四騎士　１０</t>
  </si>
  <si>
    <t>鈴木央</t>
  </si>
  <si>
    <t>ダンダダン　８</t>
  </si>
  <si>
    <t>龍幸伸</t>
  </si>
  <si>
    <t>ジャンプコミックス　ＰＬＵＳ</t>
  </si>
  <si>
    <t>國語國文　第９１巻１２号</t>
  </si>
  <si>
    <t>京都大学文学部国語学国文学研究室</t>
  </si>
  <si>
    <t>臨川書店</t>
  </si>
  <si>
    <t>暁のヨナ　４０</t>
  </si>
  <si>
    <t>草凪みずほ</t>
  </si>
  <si>
    <t>花とゆめコミックス</t>
  </si>
  <si>
    <t>ユリイカ　０２　２０２３（第５５巻第３号</t>
  </si>
  <si>
    <t>ウマ娘シンデレラグレイ　９</t>
  </si>
  <si>
    <t>久住太陽</t>
  </si>
  <si>
    <t>フラジャイル　２４</t>
  </si>
  <si>
    <t>草水敏</t>
  </si>
  <si>
    <t>アフタヌーンＫＣ</t>
  </si>
  <si>
    <t>チェンソーマン　１０</t>
  </si>
  <si>
    <t>チェンソーマン　９</t>
  </si>
  <si>
    <t>終末のワルキューレ　１７</t>
  </si>
  <si>
    <t>アジチカ</t>
  </si>
  <si>
    <t>コアミックス</t>
  </si>
  <si>
    <t>ゼノンコミックス</t>
  </si>
  <si>
    <t>天路の旅人</t>
  </si>
  <si>
    <t>沢木耕太郎</t>
  </si>
  <si>
    <t>チェンソーマン　１１</t>
  </si>
  <si>
    <t>中高生のための文章読本</t>
  </si>
  <si>
    <t>澤田英輔</t>
  </si>
  <si>
    <t>学参２</t>
  </si>
  <si>
    <t>中井久夫スペシャル</t>
  </si>
  <si>
    <t>ＮＨＫテキスト　１００分ｄｅ名著　２０２２年１２月</t>
  </si>
  <si>
    <t>来世は他人がいい　７</t>
  </si>
  <si>
    <t>小西明日翔</t>
  </si>
  <si>
    <t>リィンカーネーションの花弁　１７</t>
  </si>
  <si>
    <t>小西幹久</t>
  </si>
  <si>
    <t>マッグガーデン</t>
  </si>
  <si>
    <t>ブレイドコミックス</t>
  </si>
  <si>
    <t>チェンソーマン　８</t>
  </si>
  <si>
    <t>るろうに剣心ー明治剣客浪漫譚・北海道編ー　巻之８</t>
  </si>
  <si>
    <t>和月伸宏</t>
  </si>
  <si>
    <t>ジャンプコミックス　ＳＱ．</t>
  </si>
  <si>
    <t>ＯＮＥ　ＰＩＥＣＥ　巻１０４</t>
  </si>
  <si>
    <t>尾田栄一郎</t>
  </si>
  <si>
    <t>チェンソーマン　７</t>
  </si>
  <si>
    <t>体力トレーニングの理論と実際</t>
  </si>
  <si>
    <t>大阪体育大学体力トレーニング教室</t>
  </si>
  <si>
    <t>大修館書店</t>
  </si>
  <si>
    <t>チェンソーマン　４</t>
  </si>
  <si>
    <t>チェンソーマン　５</t>
  </si>
  <si>
    <t>チェンソーマン　６</t>
  </si>
  <si>
    <t>荒地の家族</t>
  </si>
  <si>
    <t>佐藤厚志</t>
  </si>
  <si>
    <t>ＭＡＪＯＲ　２ｎｄ　２５</t>
  </si>
  <si>
    <t>満田拓也</t>
  </si>
  <si>
    <t>映画の理論</t>
  </si>
  <si>
    <t>ジークフリート・クラカウアー</t>
  </si>
  <si>
    <t>東京大学出版会</t>
  </si>
  <si>
    <t>モルフォ人体デッサン</t>
  </si>
  <si>
    <t>ミシェル・ローリセラ</t>
  </si>
  <si>
    <t>グラフィック社</t>
  </si>
  <si>
    <t>実用</t>
  </si>
  <si>
    <t>呪術廻戦　２０</t>
  </si>
  <si>
    <t>母親になって後悔してる</t>
  </si>
  <si>
    <t>オルナ・ドーナト</t>
  </si>
  <si>
    <t>ハクメイとミコチ　１１</t>
  </si>
  <si>
    <t>樫木祐人</t>
  </si>
  <si>
    <t>ＨＡＲＴＡ　ＣＯＭＩＸ</t>
  </si>
  <si>
    <t>東京大学「ボーカロイド音楽論」講義</t>
  </si>
  <si>
    <t>鮎川ぱて</t>
  </si>
  <si>
    <t>地図と拳</t>
  </si>
  <si>
    <t>小川哲</t>
  </si>
  <si>
    <t>日常　十一</t>
  </si>
  <si>
    <t>あらゐけいいち</t>
  </si>
  <si>
    <t>チェンソーマン　３</t>
  </si>
  <si>
    <t>ＳＰＹ×ＦＡＭＩＬＹ　１０</t>
  </si>
  <si>
    <t>遠藤達哉</t>
  </si>
  <si>
    <t>ちいかわなんか小さくてかわいいやつ　５</t>
  </si>
  <si>
    <t>ナガノ</t>
  </si>
  <si>
    <t>ワイドＫＣ　モーニング</t>
  </si>
  <si>
    <t>チェンソーマン　２</t>
  </si>
  <si>
    <t>金田一少年の事件簿３０ｔｈ　３</t>
  </si>
  <si>
    <t>天樹征丸</t>
  </si>
  <si>
    <t>イブニングＫＣ</t>
  </si>
  <si>
    <t>こどもさんびか</t>
  </si>
  <si>
    <t>日本基督教団</t>
  </si>
  <si>
    <t>日本基督教団出版局</t>
  </si>
  <si>
    <t>しろがねの葉</t>
  </si>
  <si>
    <t>千早茜</t>
  </si>
  <si>
    <t>ちはやふる　５０</t>
  </si>
  <si>
    <t>末次由紀</t>
  </si>
  <si>
    <t>ＢＥ　ＬＯＶＥ　ＫＣ</t>
  </si>
  <si>
    <t>２０代で得た知見</t>
  </si>
  <si>
    <t>Ｆ</t>
  </si>
  <si>
    <t>チェンソーマン　１</t>
  </si>
  <si>
    <t>双星の陰陽師　３０</t>
  </si>
  <si>
    <t>助野嘉昭</t>
  </si>
  <si>
    <t>発達障害の人が見ている世界</t>
  </si>
  <si>
    <t>岩瀬利郎</t>
  </si>
  <si>
    <t>アスコム</t>
  </si>
  <si>
    <t>東大に名探偵はいない</t>
  </si>
  <si>
    <t>市川憂人</t>
  </si>
  <si>
    <t>東京卍リベンジャーズキャラクター名鑑　ＲＥＭＥＭＢＥＲ　ＹＯＵ！</t>
  </si>
  <si>
    <t>週刊少年マガジン編集部</t>
  </si>
  <si>
    <t>ＫＣデラックス</t>
  </si>
  <si>
    <t>システム・エラー社会</t>
  </si>
  <si>
    <t>ロブ・ライヒ</t>
  </si>
  <si>
    <t>我々はどこから来て、今どこにいるのか？　下</t>
  </si>
  <si>
    <t>吉本隆明全集　第３０巻</t>
  </si>
  <si>
    <t>吉本隆明</t>
  </si>
  <si>
    <t>晶文社</t>
  </si>
  <si>
    <t>ＨＵＮＴＥＲ×ＨＵＮＴＥＲ　３７</t>
  </si>
  <si>
    <t>冨樫義博</t>
  </si>
  <si>
    <t>ジョジョの奇妙な冒険　クレイジー・Ｄの悪霊的失恋　２</t>
  </si>
  <si>
    <t>カラスマタスク</t>
  </si>
  <si>
    <t>スーパーの裏でヤニ吸うふたり　２</t>
  </si>
  <si>
    <t>地主</t>
  </si>
  <si>
    <t>スクウェア・エニックス</t>
  </si>
  <si>
    <t>ビッグガンガンコミックス</t>
  </si>
  <si>
    <t>汝、星のごとく</t>
  </si>
  <si>
    <t>さよなら絵梨</t>
  </si>
  <si>
    <t>ダイヤのＡ　ａｃｔ２　３２</t>
  </si>
  <si>
    <t>寺嶋裕二</t>
  </si>
  <si>
    <t>かぐや様は告らせたい～天才たちの恋愛頭脳戦～　２７</t>
  </si>
  <si>
    <t>東京卍リベンジャーズ　３０</t>
  </si>
  <si>
    <t>女の園の星　３</t>
  </si>
  <si>
    <t>和山やま</t>
  </si>
  <si>
    <t>フィールコミックス　ｓｗｉｎｇ</t>
  </si>
  <si>
    <t>ブルーロック　２０</t>
  </si>
  <si>
    <t>ブルーピリオド　１３</t>
  </si>
  <si>
    <t>山口つばさ</t>
  </si>
  <si>
    <t>これ一冊で完ぺき！マナーのすべてがわかる便利手帳</t>
  </si>
  <si>
    <t>岩下宣子</t>
  </si>
  <si>
    <t>ナツメ社</t>
  </si>
  <si>
    <t>月の満ち欠け</t>
  </si>
  <si>
    <t>佐藤正午</t>
  </si>
  <si>
    <t>上野千鶴子がもっと文学を社会学する</t>
  </si>
  <si>
    <t>文学は予言する</t>
  </si>
  <si>
    <t>鴻巣友季子</t>
  </si>
  <si>
    <t>新潮選書</t>
  </si>
  <si>
    <t>戦争と平和　ある観察</t>
  </si>
  <si>
    <t>人文書院</t>
  </si>
  <si>
    <t>サン・サーンス／交響曲第３番ハ短調作品７８〔オルガン付〕</t>
  </si>
  <si>
    <t>山口博史</t>
  </si>
  <si>
    <t>国商最後のフィクサー葛西敬之</t>
  </si>
  <si>
    <t>森功</t>
  </si>
  <si>
    <t>変革する文体</t>
  </si>
  <si>
    <t>木村洋</t>
  </si>
  <si>
    <t>名古屋大学出版会</t>
  </si>
  <si>
    <t>三体０球状閃電</t>
  </si>
  <si>
    <t>劉慈欣</t>
  </si>
  <si>
    <t>体はゆく</t>
  </si>
  <si>
    <t>ＭＡＯ　１５</t>
  </si>
  <si>
    <t>高橋留美子</t>
  </si>
  <si>
    <t>変な絵</t>
  </si>
  <si>
    <t>雨穴</t>
  </si>
  <si>
    <t>同志少女よ、敵を撃て</t>
  </si>
  <si>
    <t>逢坂冬馬</t>
  </si>
  <si>
    <t>ＳＰＹ×ＦＡＭＩＬＹ　９</t>
  </si>
  <si>
    <t>雨宮さん　１</t>
  </si>
  <si>
    <t>ゲッサン少年サンデーコミックススペシャル</t>
  </si>
  <si>
    <t>語学の天才まで１億光年</t>
  </si>
  <si>
    <t>高野秀行</t>
  </si>
  <si>
    <t>グローバル・アニメ論</t>
  </si>
  <si>
    <t>石田美紀</t>
  </si>
  <si>
    <t>青弓社</t>
  </si>
  <si>
    <t>君のクイズ</t>
  </si>
  <si>
    <t>化物語　２０</t>
  </si>
  <si>
    <t>西尾維新</t>
  </si>
  <si>
    <t>ＫＣデラックス　週刊少年マガジン</t>
  </si>
  <si>
    <t>オーウェルの薔薇</t>
  </si>
  <si>
    <t>レベッカ・ソルニット</t>
  </si>
  <si>
    <t>白い本</t>
  </si>
  <si>
    <t>二見書房</t>
  </si>
  <si>
    <t>よふかしのうた　１４</t>
  </si>
  <si>
    <t>コトヤマ</t>
  </si>
  <si>
    <t>現代観光学</t>
  </si>
  <si>
    <t>遠藤英樹</t>
  </si>
  <si>
    <t>新曜社</t>
  </si>
  <si>
    <t>ワードマップ</t>
  </si>
  <si>
    <t>旅行</t>
  </si>
  <si>
    <t>ＡＩ研究者と俳人　人はなぜ俳句を詠むのか</t>
  </si>
  <si>
    <t>川村秀憲</t>
  </si>
  <si>
    <t>ｄＺＥＲＯ</t>
  </si>
  <si>
    <t>転生したら平民でした。～生活水準に耐えられないので貴族を目指します～　３</t>
  </si>
  <si>
    <t>蒼井美紗</t>
  </si>
  <si>
    <t>Ｍノベルス</t>
  </si>
  <si>
    <t>我々はどこから来て、今どこにいるのか？　上</t>
  </si>
  <si>
    <t>ガラスの来た道</t>
  </si>
  <si>
    <t>小寺智津子</t>
  </si>
  <si>
    <t>吉川弘文館</t>
  </si>
  <si>
    <t>歴史文化ライブラリー</t>
  </si>
  <si>
    <t>かげきしょうじょ！！　１３</t>
  </si>
  <si>
    <t>斉木久美子</t>
  </si>
  <si>
    <t>花とゆめコミックススペシャル</t>
  </si>
  <si>
    <t>おたんじょうび</t>
  </si>
  <si>
    <t>まついのりこ</t>
  </si>
  <si>
    <t>偕成社</t>
  </si>
  <si>
    <t>あかちゃんのほん</t>
  </si>
  <si>
    <t>ワーグナー／楽劇《ニュルンベルクのマイスタージンガー》第１幕への前奏曲</t>
  </si>
  <si>
    <t>ヴィルヘルム・リヒャルト・ワーグナー</t>
  </si>
  <si>
    <t>スキップとローファー　８</t>
  </si>
  <si>
    <t>高松美咲</t>
  </si>
  <si>
    <t>ＰＰＰＰＰＰ　６</t>
  </si>
  <si>
    <t>マポロ３号</t>
  </si>
  <si>
    <t>歴史の屑拾い</t>
  </si>
  <si>
    <t>藤原辰史</t>
  </si>
  <si>
    <t>世界は五反田から始まった</t>
  </si>
  <si>
    <t>星野博美</t>
  </si>
  <si>
    <t>ゲンロン</t>
  </si>
  <si>
    <t>コード・ブレーカー　上</t>
  </si>
  <si>
    <t>ウォルター・アイザックソン</t>
  </si>
  <si>
    <t>ぼっち・ざ・ろっく！　３</t>
  </si>
  <si>
    <t>はまじあき</t>
  </si>
  <si>
    <t>芳文社</t>
  </si>
  <si>
    <t>まんがタイムＫＲコミックス　ＫＩＲＡＲＡ　ＭＥＮＵ　１７０２</t>
  </si>
  <si>
    <t>ブルーロック　１４</t>
  </si>
  <si>
    <t>ＳＰＹ×ＦＡＭＩＬＹ　８</t>
  </si>
  <si>
    <t>ブルーロック　１５</t>
  </si>
  <si>
    <t>ＪＯＪＯ　ｍａｇａｚｉｎｅ　２０２２　ＷＩＮＴＥＲ</t>
  </si>
  <si>
    <t>ＳＨＵＥＩＳＨＡ　ＭＯＯＫ</t>
  </si>
  <si>
    <t>三流シェフ</t>
  </si>
  <si>
    <t>三國清三</t>
  </si>
  <si>
    <t>舞妓さんちのまかないさん　２２</t>
  </si>
  <si>
    <t>小山愛子</t>
  </si>
  <si>
    <t>少年サンデーコミックススペシャル</t>
  </si>
  <si>
    <t>ブルーロック　１３</t>
  </si>
  <si>
    <t>ブルーロック　２１</t>
  </si>
  <si>
    <t>ブルーロック　８</t>
  </si>
  <si>
    <t>ボーダー　移民と難民</t>
  </si>
  <si>
    <t>佐々涼子</t>
  </si>
  <si>
    <t>北條民雄『いのちの初夜』　２０２３年２月</t>
  </si>
  <si>
    <t>中江有里</t>
  </si>
  <si>
    <t>ＮＨＫテキスト　１００分ｄｅ名著　２０２３年２月</t>
  </si>
  <si>
    <t>ＳＰＹ×ＦＡＭＩＬＹ　５</t>
  </si>
  <si>
    <t>乃木撮　ＶＯＬ．０３</t>
  </si>
  <si>
    <t>乃木坂４６</t>
  </si>
  <si>
    <t>おいしいごはんが食べられますように</t>
  </si>
  <si>
    <t>高瀬隼子</t>
  </si>
  <si>
    <t>呪術廻戦　１９</t>
  </si>
  <si>
    <t>＃真相をお話しします</t>
  </si>
  <si>
    <t>結城真一郎</t>
  </si>
  <si>
    <t>裸足で逃げる</t>
  </si>
  <si>
    <t>上間陽子</t>
  </si>
  <si>
    <t>太田出版</t>
  </si>
  <si>
    <t>ａｔプラス叢書</t>
  </si>
  <si>
    <t>ブルーロック　１６</t>
  </si>
  <si>
    <t>コード・ブレーカー　下</t>
  </si>
  <si>
    <t>ブルーロック　１９</t>
  </si>
  <si>
    <t>ＳＰＹ×ＦＡＭＩＬＹ　７</t>
  </si>
  <si>
    <t>ブルーロック　１</t>
  </si>
  <si>
    <t>ブルーロック　４</t>
  </si>
  <si>
    <t>ブルーロック　１０</t>
  </si>
  <si>
    <t>ＢＬＥＡＣＨ　６４</t>
  </si>
  <si>
    <t>久保帯人</t>
  </si>
  <si>
    <t>新九郎、奔る！　１２</t>
  </si>
  <si>
    <t>ゆうきまさみ</t>
  </si>
  <si>
    <t>ビッグスピリッツコミックススペシャル</t>
  </si>
  <si>
    <t>ルックバック</t>
  </si>
  <si>
    <t>ブルーロック　１２</t>
  </si>
  <si>
    <t>忖度しません</t>
  </si>
  <si>
    <t>斎藤美奈子</t>
  </si>
  <si>
    <t>ブルーロック　７</t>
  </si>
  <si>
    <t>異文化コミュニケーション・トレーニング　「異」と共に成長する</t>
  </si>
  <si>
    <t>山本志都</t>
  </si>
  <si>
    <t>三修社</t>
  </si>
  <si>
    <t>プレミアムＫＣ</t>
  </si>
  <si>
    <t>日本　２０２３～２０２４</t>
  </si>
  <si>
    <t>地球の歩き方編集室</t>
  </si>
  <si>
    <t>地球の歩き方</t>
  </si>
  <si>
    <t>怪獣８号　８</t>
  </si>
  <si>
    <t>松本直也（漫画家）</t>
  </si>
  <si>
    <t>「能力」の生きづらさをほぐす</t>
  </si>
  <si>
    <t>勅使川原真衣</t>
  </si>
  <si>
    <t>どく社</t>
  </si>
  <si>
    <t>生成と消滅の精神史　終わらない心を生きる</t>
  </si>
  <si>
    <t>下西風澄</t>
  </si>
  <si>
    <t>ぼっち・ざ・ろっく！　２</t>
  </si>
  <si>
    <t>まんがタイムＫＲコミックス　ＫＩＲＡＲＡ　ＭＥＮＵ　１６２０</t>
  </si>
  <si>
    <t>正欲</t>
  </si>
  <si>
    <t>呪術廻戦　１８</t>
  </si>
  <si>
    <t>かぐや様は告らせたいラスト公式ファンブック　秀知院学園卒業パーティー～かぐや様は</t>
  </si>
  <si>
    <t>ＡＩ２０４１　人工知能が変える２０年後の未来</t>
  </si>
  <si>
    <t>李開復</t>
  </si>
  <si>
    <t>ＳＰＹ×ＦＡＭＩＬＹ　４</t>
  </si>
  <si>
    <t>「専門家」とは誰か</t>
  </si>
  <si>
    <t>村上陽一郎</t>
  </si>
  <si>
    <t>あやかしトライアングル　１２</t>
  </si>
  <si>
    <t>矢吹健太朗</t>
  </si>
  <si>
    <t>その本は</t>
  </si>
  <si>
    <t>地球の歩き方　Ａ０７（２０２３～２０２４）</t>
  </si>
  <si>
    <t>夜桜さんちの大作戦　１６</t>
  </si>
  <si>
    <t>権平ひつじ</t>
  </si>
  <si>
    <t>ブルーロック　１１</t>
  </si>
  <si>
    <t>地図とデータで見るＳＤＧｓの世界ハンドブック</t>
  </si>
  <si>
    <t>イヴェット・ヴェレ</t>
  </si>
  <si>
    <t>原書房</t>
  </si>
  <si>
    <t>あかね噺　四</t>
  </si>
  <si>
    <t>馬上鷹将</t>
  </si>
  <si>
    <t>ブルーロック　１７</t>
  </si>
  <si>
    <t>２．５次元の誘惑　１６</t>
  </si>
  <si>
    <t>橋本悠</t>
  </si>
  <si>
    <t>ＳＰＹ×ＦＡＭＩＬＹ　６</t>
  </si>
  <si>
    <t>放課後ひみつクラブ　１</t>
  </si>
  <si>
    <t>福島鉄平</t>
  </si>
  <si>
    <t>ぼっち・ざ・ろっく！　４</t>
  </si>
  <si>
    <t>まんがタイムＫＲコミックス　ＫＩＲＡＲＡ　ＭＥＮＵ　１８３８</t>
  </si>
  <si>
    <t>ＳＰＹ×ＦＡＭＩＬＹ　３</t>
  </si>
  <si>
    <t>ブルーロック　３</t>
  </si>
  <si>
    <t>ぼっち・ざ・ろっく！　１</t>
  </si>
  <si>
    <t>まんがタイムＫＲコミックス　ＫＩＲＡＲＡ　ＭＥＮＵ　１５２２</t>
  </si>
  <si>
    <t>男同士の絆</t>
  </si>
  <si>
    <t>イヴ・コゾフスキー・セジウィック</t>
  </si>
  <si>
    <t>1203:文学理論・批評</t>
  </si>
  <si>
    <t>ブルーロック　６</t>
  </si>
  <si>
    <t>すべてのナゾがこれで解けた！！鴎外「舞姫」徹底解読</t>
  </si>
  <si>
    <t>六草いちか</t>
  </si>
  <si>
    <t>ブルーロック　２</t>
  </si>
  <si>
    <t>リエゾン　１１</t>
  </si>
  <si>
    <t>竹村優作</t>
  </si>
  <si>
    <t>シューベルト／交響曲第７（８）番ロ短調Ｄ．７５９《未完成》</t>
  </si>
  <si>
    <t>フランツ・シューベルト</t>
  </si>
  <si>
    <t>リコリス・リコイル　１</t>
  </si>
  <si>
    <t>備前やすのり</t>
  </si>
  <si>
    <t>ＭＦコミックス　フラッパーシリーズ</t>
  </si>
  <si>
    <t>僕のヒーローアカデミア　３６</t>
  </si>
  <si>
    <t>堀越耕平</t>
  </si>
  <si>
    <t>キリスト教で読み解く世界の映画</t>
  </si>
  <si>
    <t>関西学院大学キリスト教と文化研究センター</t>
  </si>
  <si>
    <t>キリスト新聞社</t>
  </si>
  <si>
    <t>国会話法の正体</t>
  </si>
  <si>
    <t>藤井青銅</t>
  </si>
  <si>
    <t>柏書房</t>
  </si>
  <si>
    <t>物語とトラウマ</t>
  </si>
  <si>
    <t>岩川ありさ</t>
  </si>
  <si>
    <t>九龍ジェネリックロマンス　８</t>
  </si>
  <si>
    <t>眉月じゅん</t>
  </si>
  <si>
    <t>佐伯祐三</t>
  </si>
  <si>
    <t>高柳有紀子</t>
  </si>
  <si>
    <t>別冊太陽　日本のこころ　３０４</t>
  </si>
  <si>
    <t>８２年生まれ、キム・ジヨン</t>
  </si>
  <si>
    <t>チョ・ナムジュ</t>
  </si>
  <si>
    <t>「人間ではないもの」とは誰か</t>
  </si>
  <si>
    <t>鳥居万由実</t>
  </si>
  <si>
    <t>月の立つ林で</t>
  </si>
  <si>
    <t>青山美智子</t>
  </si>
  <si>
    <t>あおざくら　防衛大学校物語　２７</t>
  </si>
  <si>
    <t>二階堂ヒカル</t>
  </si>
  <si>
    <t>史料と写真で見る陸上競技の歴史</t>
  </si>
  <si>
    <t>岡尾惠市</t>
  </si>
  <si>
    <t>深掘り観光のススメ</t>
  </si>
  <si>
    <t>井口貢</t>
  </si>
  <si>
    <t>ナカニシヤ出版</t>
  </si>
  <si>
    <t>クロコダイル・ティアーズ</t>
  </si>
  <si>
    <t>雫井脩介</t>
  </si>
  <si>
    <t>ブルーロック　９</t>
  </si>
  <si>
    <t>日経エンタテインメント！乃木坂４６　Ｓｐｅｃｉａｌ　２０２３</t>
  </si>
  <si>
    <t>日経ＢＰムック</t>
  </si>
  <si>
    <t>ＳＰＹ×ＦＡＭＩＬＹ　２</t>
  </si>
  <si>
    <t>地球の歩き方　Ｄ２１（２０２３～２０２４）</t>
  </si>
  <si>
    <t>ブルーロック　１８</t>
  </si>
  <si>
    <t>きのこをまいにち食べて健康になる</t>
  </si>
  <si>
    <t>江口文陽</t>
  </si>
  <si>
    <t>キクロス出版</t>
  </si>
  <si>
    <t>ＭＯＴＯＲ　ＦＡＮ　ｉｌｌｕｓｔｒａｔｅｄ　Ｖｏｌ．１９６</t>
  </si>
  <si>
    <t>三栄</t>
  </si>
  <si>
    <t>モーターファン別冊</t>
  </si>
  <si>
    <t>栞と嘘の季節</t>
  </si>
  <si>
    <t>グレイスレス</t>
  </si>
  <si>
    <t>鈴木涼美</t>
  </si>
  <si>
    <t>［特装版コミック］　花とゆめコミックス　ＬａＬａ</t>
  </si>
  <si>
    <t>弱虫ペダルＳＰＡＲＥ　ＢＩＫＥ　１１</t>
  </si>
  <si>
    <t>渡辺航</t>
  </si>
  <si>
    <t>秋田書店</t>
  </si>
  <si>
    <t>少年チャンピオンコミックス　ＢＥＳＳＡＴＳＵ</t>
  </si>
  <si>
    <t>宝石の国　１２</t>
  </si>
  <si>
    <t>市川春子</t>
  </si>
  <si>
    <t>ブルーロック　５</t>
  </si>
  <si>
    <t>自分だけのボードゲームを作ろう</t>
  </si>
  <si>
    <t>ジェシ・テランス・ダニエルズ</t>
  </si>
  <si>
    <t>オライリー・ジャパン</t>
  </si>
  <si>
    <t>るるぶ沖縄　’２４</t>
  </si>
  <si>
    <t>ＪＴＢパブリッシング</t>
  </si>
  <si>
    <t>るるぶ情報版</t>
  </si>
  <si>
    <t>地球の歩き方　Ｄ１８（２０２３～２０２４）</t>
  </si>
  <si>
    <t>カッコウの許嫁　１５</t>
  </si>
  <si>
    <t>吉河美希</t>
  </si>
  <si>
    <t>エモい古語辞典</t>
  </si>
  <si>
    <t>堀越英美</t>
  </si>
  <si>
    <t>朝日出版社</t>
  </si>
  <si>
    <t>Ｄｒ．Ｅｇｇｓ　４</t>
  </si>
  <si>
    <t>三田紀房</t>
  </si>
  <si>
    <t>ヤングジャンプコミックス　ＧＪ</t>
  </si>
  <si>
    <t>名探偵のままでいて</t>
  </si>
  <si>
    <t>小西マサテル</t>
  </si>
  <si>
    <t>恋する小惑星　５</t>
  </si>
  <si>
    <t>Ｑｕｒｏ</t>
  </si>
  <si>
    <t>まんがタイムＫＲコミックス　ＫＩＲＡＲＡ　ＭＥＮＵ　１８８３</t>
  </si>
  <si>
    <t>呪術廻戦　１７</t>
  </si>
  <si>
    <t>古典モノ語り</t>
  </si>
  <si>
    <t>山本淳子</t>
  </si>
  <si>
    <t>笠間書院</t>
  </si>
  <si>
    <t>ぼっち・ざ・ろっく！　５</t>
  </si>
  <si>
    <t>まんがタイムＫＲコミックス　ＫＩＲＡＲＡ　ＭＥＮＵ　１８６９</t>
  </si>
  <si>
    <t>まず牛を球とします。</t>
  </si>
  <si>
    <t>柞刈湯葉</t>
  </si>
  <si>
    <t>名画のティータイム</t>
  </si>
  <si>
    <t>Ｃｈａ　Ｔｅａ紅茶教室</t>
  </si>
  <si>
    <t>バルトの愚かさ</t>
  </si>
  <si>
    <t>クロード・コスト</t>
  </si>
  <si>
    <t>水声社</t>
  </si>
  <si>
    <t>叢書記号学的実践</t>
  </si>
  <si>
    <t>家庭の中から世界を変えた女性たち</t>
  </si>
  <si>
    <t>ダニエル・ドライリンガー</t>
  </si>
  <si>
    <t>東京堂出版</t>
  </si>
  <si>
    <t>Ｄｉｓｎｅｙ　ＴＷＩＳＴＥＤーＷＯＮＤＥＲＬＡＮＤ　ＴＨＥ　ＣＯＭＩＣ　ＥＰ　４</t>
  </si>
  <si>
    <t>枢やな</t>
  </si>
  <si>
    <t>Ｇファンタジーコミックス</t>
  </si>
  <si>
    <t>ＯＮＥ　ＰＩＥＣＥ　巻１０３</t>
  </si>
  <si>
    <t>死刑のある国で生きる</t>
  </si>
  <si>
    <t>宮下洋一</t>
  </si>
  <si>
    <t>ケアの倫理とエンパワメント</t>
  </si>
  <si>
    <t>小川公代</t>
  </si>
  <si>
    <t>茶道手帳　令和５年（２０２３）版</t>
  </si>
  <si>
    <t>淡交社</t>
  </si>
  <si>
    <t>極主夫道　１１</t>
  </si>
  <si>
    <t>おおのこうすけ</t>
  </si>
  <si>
    <t>バンチコミックス</t>
  </si>
  <si>
    <t>てんぷる　８</t>
  </si>
  <si>
    <t>吉岡公威</t>
  </si>
  <si>
    <t>ＳＬＡＭ　ＤＵＮＫ新装再編版　♯３</t>
  </si>
  <si>
    <t>木曜日のフルット　１０</t>
  </si>
  <si>
    <t>石黒正数</t>
  </si>
  <si>
    <t>少年チャンピオンコミックス</t>
  </si>
  <si>
    <t>小説ブルーロック　戦いの前、僕らは。　千切・玲王・凛</t>
  </si>
  <si>
    <t>もえぎ桃</t>
  </si>
  <si>
    <t>２２ー２６</t>
  </si>
  <si>
    <t>ＳＬＡＭ　ＤＵＮＫ新装再編版　♯１</t>
  </si>
  <si>
    <t>テロルの現象学</t>
  </si>
  <si>
    <t>作品社</t>
  </si>
  <si>
    <t>呪術廻戦　８</t>
  </si>
  <si>
    <t>６カ国転校生ナージャの発見</t>
  </si>
  <si>
    <t>キリーロバ・ナージャ</t>
  </si>
  <si>
    <t>東京卍リベンジャーズフルカラー短編集　２</t>
  </si>
  <si>
    <t>教誨</t>
  </si>
  <si>
    <t>柚月裕子</t>
  </si>
  <si>
    <t>ＳＬＡＭ　ＤＵＮＫ新装再編版　♯８</t>
  </si>
  <si>
    <t>パゾリーニ</t>
  </si>
  <si>
    <t>四方田犬彦</t>
  </si>
  <si>
    <t>フランスの高校生が学んでいる１０人の哲学者</t>
  </si>
  <si>
    <t>シャルル・ペパン</t>
  </si>
  <si>
    <t>ＳＬＡＭ　ＤＵＮＫ新装再編版　♯６</t>
  </si>
  <si>
    <t>進駐軍を笑わせろ！</t>
  </si>
  <si>
    <t>青木深</t>
  </si>
  <si>
    <t>台湾の少年　４</t>
  </si>
  <si>
    <t>游珮芸</t>
  </si>
  <si>
    <t>ＳＬＡＭ　ＤＵＮＫ新装再編版　♯４</t>
  </si>
  <si>
    <t>キングダム　６６</t>
  </si>
  <si>
    <t>きみのことがだいすき</t>
  </si>
  <si>
    <t>いぬいさえこ</t>
  </si>
  <si>
    <t>パイインターナショナル</t>
  </si>
  <si>
    <t>方舟</t>
  </si>
  <si>
    <t>夕木春央</t>
  </si>
  <si>
    <t>新海誠論</t>
  </si>
  <si>
    <t>小説のフィクショナリティ</t>
  </si>
  <si>
    <t>高橋幸平</t>
  </si>
  <si>
    <t>ひつじ書房</t>
  </si>
  <si>
    <t>バルザックの『サラジーヌ』について</t>
  </si>
  <si>
    <t>ロラン・バルト</t>
  </si>
  <si>
    <t>ＳＬＡＭ　ＤＵＮＫ新装再編版　♯２</t>
  </si>
  <si>
    <t>銀河英雄伝説　２５</t>
  </si>
  <si>
    <t>田中芳樹</t>
  </si>
  <si>
    <t>言葉の展望台</t>
  </si>
  <si>
    <t>変な家</t>
  </si>
  <si>
    <t>飛鳥新社</t>
  </si>
  <si>
    <t>君は放課後インソムニア　１１</t>
  </si>
  <si>
    <t>オジロマコト</t>
  </si>
  <si>
    <t>ビッグコミックス　スピリッツ</t>
  </si>
  <si>
    <t>ＨＵＮＴＥＲ×ＨＵＮＴＥＲ　３５</t>
  </si>
  <si>
    <t>かぐや様は告らせたい～天才たちの恋愛頭脳戦～　２６</t>
  </si>
  <si>
    <t>呪術廻戦　９</t>
  </si>
  <si>
    <t>ＳＬＡＭ　ＤＵＮＫ新装再編版　♯１４</t>
  </si>
  <si>
    <t>ＳＰＹ×ＦＡＭＩＬＹ　１</t>
  </si>
  <si>
    <t>クッキングパパ　１６４</t>
  </si>
  <si>
    <t>うえやまとち</t>
  </si>
  <si>
    <t>夢をかなえるゾウ　１</t>
  </si>
  <si>
    <t>水野敬也</t>
  </si>
  <si>
    <t>文響社</t>
  </si>
  <si>
    <t>この父ありて娘たちの歳月</t>
  </si>
  <si>
    <t>梯久美子</t>
  </si>
  <si>
    <t>ルポ　誰が国語力を殺すのか</t>
  </si>
  <si>
    <t>石井光太</t>
  </si>
  <si>
    <t>おおきく振りかぶって　ｖｏｌ．３６</t>
  </si>
  <si>
    <t>ひぐちアサ</t>
  </si>
  <si>
    <t>爆弾</t>
  </si>
  <si>
    <t>呉勝浩</t>
  </si>
  <si>
    <t>呪術廻戦　１５</t>
  </si>
  <si>
    <t>アルスラーン戦記　１８</t>
  </si>
  <si>
    <t>荒川弘</t>
  </si>
  <si>
    <t>ＳＬＡＭ　ＤＵＮＫ新装再編版　♯７</t>
  </si>
  <si>
    <t>ジャクソンひとり</t>
  </si>
  <si>
    <t>安堂ホセ</t>
  </si>
  <si>
    <t>推し、燃ゆ</t>
  </si>
  <si>
    <t>宇佐見りん</t>
  </si>
  <si>
    <t>呪術廻戦　１３</t>
  </si>
  <si>
    <t>ケアする惑星</t>
  </si>
  <si>
    <t>ＳＬＡＭ　ＤＵＮＫ新装再編版　♯５</t>
  </si>
  <si>
    <t>ＳＬＡＭ　ＤＵＮＫ新装再編版　♯１５</t>
  </si>
  <si>
    <t>このマンガがすごい！　２０２３</t>
  </si>
  <si>
    <t>『このマンガがすごい！』編集部</t>
  </si>
  <si>
    <t>音楽学への招待</t>
  </si>
  <si>
    <t>沼野雄司</t>
  </si>
  <si>
    <t>春秋社（千代田区）</t>
  </si>
  <si>
    <t>春秋社音楽学叢書</t>
  </si>
  <si>
    <t>東京の生活史</t>
  </si>
  <si>
    <t>岸政彦</t>
  </si>
  <si>
    <t>1514:現代日本社会論</t>
  </si>
  <si>
    <t>奇妙なものとぞっとするもの──小説・映画・音楽、文化論集</t>
  </si>
  <si>
    <t>マーク・フィッシャー</t>
  </si>
  <si>
    <t>Ｐヴァイン</t>
  </si>
  <si>
    <t>［テキスト］　ｅｌｅーｋｉｎｇ　ｂｏｏｋｓ</t>
  </si>
  <si>
    <t>中国注疏講義</t>
  </si>
  <si>
    <t>古勝隆一</t>
  </si>
  <si>
    <t>一冊の、ささやかな、本</t>
  </si>
  <si>
    <t>田邉恵子</t>
  </si>
  <si>
    <t>みすず書房</t>
  </si>
  <si>
    <t>名探偵コナン　１０２</t>
  </si>
  <si>
    <t>青山剛昌</t>
  </si>
  <si>
    <t>青の祓魔師　２８</t>
  </si>
  <si>
    <t>加藤和恵</t>
  </si>
  <si>
    <t>るるぶ九州　’２３</t>
  </si>
  <si>
    <t>ＳＬＡＭ　ＤＵＮＫ新装再編版　♯９</t>
  </si>
  <si>
    <t>教養としての日本古典文学史</t>
  </si>
  <si>
    <t>村尾誠一</t>
  </si>
  <si>
    <t>文にあたる</t>
  </si>
  <si>
    <t>牟田都子</t>
  </si>
  <si>
    <t>亜紀書房</t>
  </si>
  <si>
    <t>好きな子がめがねを忘れた　１０</t>
  </si>
  <si>
    <t>藤近小梅</t>
  </si>
  <si>
    <t>ガンガンコミックス　ＪＯＫＥＲ</t>
  </si>
  <si>
    <t>光が死んだ夏　２</t>
  </si>
  <si>
    <t>モクモクれん</t>
  </si>
  <si>
    <t>ＨＵＮＴＥＲ×ＨＵＮＴＥＲ　３６</t>
  </si>
  <si>
    <t>今すぐできて、一生役立つ地頭力のはじめ方</t>
  </si>
  <si>
    <t>細谷功</t>
  </si>
  <si>
    <t>韓国文学の中心にあるもの</t>
  </si>
  <si>
    <t>斎藤真理子</t>
  </si>
  <si>
    <t>イースト・プレス</t>
  </si>
  <si>
    <t>東京藝大で教わる西洋美術の見かた</t>
  </si>
  <si>
    <t>佐藤直樹</t>
  </si>
  <si>
    <t>世界文化社</t>
  </si>
  <si>
    <t>基礎から身につく「大人の教養」</t>
  </si>
  <si>
    <t>他者の靴を履く</t>
  </si>
  <si>
    <t>ＳＬＡＭ　ＤＵＮＫ新装再編版　♯１６</t>
  </si>
  <si>
    <t>ベイルート９６１時間（とそれに伴う３２１皿の料理）</t>
  </si>
  <si>
    <t>関口涼子</t>
  </si>
  <si>
    <t>ＯＮＥ　ＰＩＥＣＥ　巻１０２</t>
  </si>
  <si>
    <t>ワンパンマン　２７</t>
  </si>
  <si>
    <t>ＯＮＥ</t>
  </si>
  <si>
    <t>オデュッセイア</t>
  </si>
  <si>
    <t>ホメロス</t>
  </si>
  <si>
    <t>京都大学学術出版会</t>
  </si>
  <si>
    <t>西洋古典叢書</t>
  </si>
  <si>
    <t>マチズモを削り取れ</t>
  </si>
  <si>
    <t>武田砂鉄</t>
  </si>
  <si>
    <t>人類学者Ｋ</t>
  </si>
  <si>
    <t>奥野克巳</t>
  </si>
  <si>
    <t>嫌いなら呼ぶなよ</t>
  </si>
  <si>
    <t>綿矢りさ</t>
  </si>
  <si>
    <t>ヒルベルという子がいた</t>
  </si>
  <si>
    <t>ペーター・ヘルトリング</t>
  </si>
  <si>
    <t>ＳＬＡＭ　ＤＵＮＫ新装再編版　♯１０</t>
  </si>
  <si>
    <t>ＳＷＩＴＣＨ　Ｖｏｌ．４１　Ｎｏ．２（ＦＥＢ</t>
  </si>
  <si>
    <t>スイッチ・パブリッシング</t>
  </si>
  <si>
    <t>メモの魔力</t>
  </si>
  <si>
    <t>前田裕二</t>
  </si>
  <si>
    <t>ＮｅｗｓＰｉｃｋｓ　Ｂｏｏｋ</t>
  </si>
  <si>
    <t>地球の歩き方　Ａ０２（２０１９～２０２０）</t>
  </si>
  <si>
    <t>ユリイカ　１２　２０２２（第５４巻第１４</t>
  </si>
  <si>
    <t>ＳＬＡＭ　ＤＵＮＫ新装再編版　♯１７</t>
  </si>
  <si>
    <t>海をあげる</t>
  </si>
  <si>
    <t>絵画とタイトル</t>
  </si>
  <si>
    <t>ルース・バーナード・イーゼル</t>
  </si>
  <si>
    <t>光のとこにいてね</t>
  </si>
  <si>
    <t>一穂ミチ</t>
  </si>
  <si>
    <t>続・大学的奈良ガイド</t>
  </si>
  <si>
    <t>奈良女子大学文学部なら学プロジェクト</t>
  </si>
  <si>
    <t>昭和堂（京都）</t>
  </si>
  <si>
    <t>おばあちゃんは猫でテーブルを拭きながら言った</t>
  </si>
  <si>
    <t>金井真紀</t>
  </si>
  <si>
    <t>私だけ年を取っているみたいだ。　ヤングケアラーの再生日記</t>
  </si>
  <si>
    <t>水谷緑</t>
  </si>
  <si>
    <t>六人の嘘つきな大学生</t>
  </si>
  <si>
    <t>浅倉秋成</t>
  </si>
  <si>
    <t>〈怪異〉とミステリ</t>
  </si>
  <si>
    <t>怪異怪談研究会</t>
  </si>
  <si>
    <t>呪術廻戦　１４</t>
  </si>
  <si>
    <t>呪術廻戦　１０</t>
  </si>
  <si>
    <t>それで君の声はどこにあるんだ？</t>
  </si>
  <si>
    <t>榎本空</t>
  </si>
  <si>
    <t>光が死んだ夏　１</t>
  </si>
  <si>
    <t>レオナルド・ダ・ヴィンチの手記　下</t>
  </si>
  <si>
    <t>レオナルド・ダ・ヴィンチ</t>
  </si>
  <si>
    <t>岩波文庫</t>
  </si>
  <si>
    <t>調理のためのベーシックデータ</t>
  </si>
  <si>
    <t>女子栄養大学調理学研究室</t>
  </si>
  <si>
    <t>女子栄養大学出版部</t>
  </si>
  <si>
    <t>呪術廻戦　１６</t>
  </si>
  <si>
    <t>ジェイソン流お金の増やし方</t>
  </si>
  <si>
    <t>厚切りジェイソン</t>
  </si>
  <si>
    <t>ぴあ</t>
  </si>
  <si>
    <t>卒業論文マニュアル　日本近現代文学編</t>
  </si>
  <si>
    <t>斎藤理生</t>
  </si>
  <si>
    <t>ＳＬＡＭ　ＤＵＮＫ新装再編版　♯１８</t>
  </si>
  <si>
    <t>ＳＬＡＭ　ＤＵＮＫ新装再編版　♯１３</t>
  </si>
  <si>
    <t>ブルーロックキャラクターブック　ＥＧＯＩＳＴ　ＢＩＢＬＥ</t>
  </si>
  <si>
    <t>小学館世界Ｊ文学館</t>
  </si>
  <si>
    <t>浅田次郎</t>
  </si>
  <si>
    <t>目の見えない白鳥さんとアートを見にいく</t>
  </si>
  <si>
    <t>川内有緒</t>
  </si>
  <si>
    <t>「学歴」で読む日本近代文学</t>
  </si>
  <si>
    <t>三浦淳</t>
  </si>
  <si>
    <t>幻冬舎メディアコンサルティング</t>
  </si>
  <si>
    <t>食事と栄養の科学大図鑑</t>
  </si>
  <si>
    <t>リアノン・ランバート</t>
  </si>
  <si>
    <t>フロプシーのこどもたち</t>
  </si>
  <si>
    <t>ビアトリクス・ポター</t>
  </si>
  <si>
    <t>絵本ピーターラビット</t>
  </si>
  <si>
    <t>ジブリパーク公式ガイドブック</t>
  </si>
  <si>
    <t>ジブリパーク</t>
  </si>
  <si>
    <t>山下達郎のＢＲＵＴＵＳ　ＳＯＮＧ　ＢＯＯＫ</t>
  </si>
  <si>
    <t>ＭＡＧＡＺＩＮＥ　ＨＯＵＳＥ　ＭＯＯＫ　ＢＲＵＴＵＳ特別編集</t>
  </si>
  <si>
    <t>椎名林檎論　乱調の音楽</t>
  </si>
  <si>
    <t>北村匡平</t>
  </si>
  <si>
    <t>香君　上</t>
  </si>
  <si>
    <t>上橋菜穂子</t>
  </si>
  <si>
    <t>シメジシミュレーション　０４</t>
  </si>
  <si>
    <t>つくみず</t>
  </si>
  <si>
    <t>ＭＦＣ　キューンシリーズ</t>
  </si>
  <si>
    <t>ささやくように恋を唄う　７</t>
  </si>
  <si>
    <t>竹嶋えく</t>
  </si>
  <si>
    <t>一迅社</t>
  </si>
  <si>
    <t>ＩＤコミックス　百合姫コミックス</t>
  </si>
  <si>
    <t>ネガティブ・ケイパビリティ</t>
  </si>
  <si>
    <t>帚木蓬生</t>
  </si>
  <si>
    <t>朝日選書</t>
  </si>
  <si>
    <t>東大リベンジャーズ　５</t>
  </si>
  <si>
    <t>船津紳平</t>
  </si>
  <si>
    <t>姫路回想譚</t>
  </si>
  <si>
    <t>池内了</t>
  </si>
  <si>
    <t>怪獣８号　６</t>
  </si>
  <si>
    <t>地球の歩き方ＪＯＪＯジョジョの奇妙な冒険</t>
  </si>
  <si>
    <t>ＳＬＡＭ　ＤＵＮＫ新装再編版　♯２０</t>
  </si>
  <si>
    <t>思いがけず利他</t>
  </si>
  <si>
    <t>中島岳志</t>
  </si>
  <si>
    <t>ミシマ社</t>
  </si>
  <si>
    <t>ＴＶガイドＰＬＵＳ　ｖоｌ．４９（２０２２　ＷＩＮ</t>
  </si>
  <si>
    <t>東京ニュース通信社</t>
  </si>
  <si>
    <t>ＴＶガイドＭＯＯＫ</t>
  </si>
  <si>
    <t>「未熟さ」の系譜</t>
  </si>
  <si>
    <t>周東美材</t>
  </si>
  <si>
    <t>パウル・ツェランと中国の天使</t>
  </si>
  <si>
    <t>多和田葉子</t>
  </si>
  <si>
    <t>きつねのトッドのおはなし</t>
  </si>
  <si>
    <t>転生したらスライムだった件　２２</t>
  </si>
  <si>
    <t>伏瀬</t>
  </si>
  <si>
    <t>シリウスＫＣ</t>
  </si>
  <si>
    <t>呪術廻戦　１１</t>
  </si>
  <si>
    <t>日本に住んでる世界のひと</t>
  </si>
  <si>
    <t>踏切の幽霊</t>
  </si>
  <si>
    <t>高野和明</t>
  </si>
  <si>
    <t>葬送のフリーレン　９</t>
  </si>
  <si>
    <t>山田鐘人</t>
  </si>
  <si>
    <t>わたしのペンは鳥の翼</t>
  </si>
  <si>
    <t>アフガニスタンの女性作家たち</t>
  </si>
  <si>
    <t>ＳＬＡＭ　ＤＵＮＫ新装再編版　♯１１</t>
  </si>
  <si>
    <t>るるぶ原神</t>
  </si>
  <si>
    <t>ＪＴＢのＭＯＯＫ</t>
  </si>
  <si>
    <t>まるごと楽しむ！旬の国産レモン</t>
  </si>
  <si>
    <t>河井美歩</t>
  </si>
  <si>
    <t>ＮＨＫテキスト　ＮＨＫまる得マガジン　２０２３年１月ー２月</t>
  </si>
  <si>
    <t>幸色のワンルーム　１１</t>
  </si>
  <si>
    <t>はくり</t>
  </si>
  <si>
    <t>ガンガンコミックス　ｐｉｘｉｖ</t>
  </si>
  <si>
    <t>呪術廻戦　１２</t>
  </si>
  <si>
    <t>ドールハウスの惨劇</t>
  </si>
  <si>
    <t>遠坂八重</t>
  </si>
  <si>
    <t>温泉百名山</t>
  </si>
  <si>
    <t>飯出敏夫</t>
  </si>
  <si>
    <t>ＳＬＡＭ　ＤＵＮＫ新装再編版　♯１２</t>
  </si>
  <si>
    <t>夜の道標</t>
  </si>
  <si>
    <t>芦沢央</t>
  </si>
  <si>
    <t>蒼き鋼のアルペジオ　２４</t>
  </si>
  <si>
    <t>Ａｒｋ　Ｐｅｒｆｏｒｍａｎｃｅ</t>
  </si>
  <si>
    <t>少年画報社</t>
  </si>
  <si>
    <t>ヤングキングコミックス</t>
  </si>
  <si>
    <t>可愛いだけじゃない式守さん　１６</t>
  </si>
  <si>
    <t>真木蛍五</t>
  </si>
  <si>
    <t>三体　３</t>
  </si>
  <si>
    <t>「大地の再生」実践マニュアル</t>
  </si>
  <si>
    <t>矢野智徳</t>
  </si>
  <si>
    <t>農山漁村文化協会</t>
  </si>
  <si>
    <t>姫とホモソーシャル</t>
  </si>
  <si>
    <t>鷲谷花</t>
  </si>
  <si>
    <t>老害の人</t>
  </si>
  <si>
    <t>内館牧子</t>
  </si>
  <si>
    <t>ぐらんぶる　１９</t>
  </si>
  <si>
    <t>井上堅二</t>
  </si>
  <si>
    <t>アフタヌーンＫＣ　ｇｏｏｄ！ＡＦＴＥＲＮＯＯＮ</t>
  </si>
  <si>
    <t>角川俳句大歳時記　新年</t>
  </si>
  <si>
    <t>撤退論</t>
  </si>
  <si>
    <t>内田樹</t>
  </si>
  <si>
    <t>犀の教室　Ｌｉｂｅｒａｌ　Ａｒｔｓ　Ｌａｂ</t>
  </si>
  <si>
    <t>ブルーロックーＥＰＩＳＯＤＥ　凪ー　１</t>
  </si>
  <si>
    <t>わたしは「ひとり新聞社」</t>
  </si>
  <si>
    <t>菊池由貴子</t>
  </si>
  <si>
    <t>ウィッチウォッチ　８</t>
  </si>
  <si>
    <t>呪術廻戦　７</t>
  </si>
  <si>
    <t>直木賞をとれなかった名作たち</t>
  </si>
  <si>
    <t>小谷野敦</t>
  </si>
  <si>
    <t>ｉｎｖｅｒｔ　覗き窓の死角　２</t>
  </si>
  <si>
    <t>トニカクカワイイ　２２</t>
  </si>
  <si>
    <t>畑健二郎</t>
  </si>
  <si>
    <t>かぐや様を語りたい　８</t>
  </si>
  <si>
    <t>東急百年　私鉄ビジネスモデルのゲームチェンジ</t>
  </si>
  <si>
    <t>東浦亮典</t>
  </si>
  <si>
    <t>ワニブックス</t>
  </si>
  <si>
    <t>川のほとりに立つ者は</t>
  </si>
  <si>
    <t>寺地はるな</t>
  </si>
  <si>
    <t>東京卍リベンジャーズ～場地圭介からの手紙～　１</t>
  </si>
  <si>
    <t>ファウスト</t>
  </si>
  <si>
    <t>ヨハン・ヴォルフガング・フォン・ゲーテ</t>
  </si>
  <si>
    <t>ブラッククローバー　３３</t>
  </si>
  <si>
    <t>田畠裕基</t>
  </si>
  <si>
    <t>小さなことばたちの辞書</t>
  </si>
  <si>
    <t>ピップ・ウィリアムズ</t>
  </si>
  <si>
    <t>赤と青とエスキース</t>
  </si>
  <si>
    <t>茶趣としつらい十二か月　２</t>
  </si>
  <si>
    <t>泉本宗玄</t>
  </si>
  <si>
    <t>淡交テキスト</t>
  </si>
  <si>
    <t>怪獣８号　７</t>
  </si>
  <si>
    <t>小さきものの近代　１</t>
  </si>
  <si>
    <t>渡辺京二</t>
  </si>
  <si>
    <t>弦書房</t>
  </si>
  <si>
    <t>鴨乃橋ロンの禁断推理　９</t>
  </si>
  <si>
    <t>天野明（漫画家）</t>
  </si>
  <si>
    <t>メダリスト　７</t>
  </si>
  <si>
    <t>つるまいかだ</t>
  </si>
  <si>
    <t>ジブリ・アニメーションの文化学</t>
  </si>
  <si>
    <t>米村みゆき</t>
  </si>
  <si>
    <t>七月社</t>
  </si>
  <si>
    <t>ポエトリー・ドッグス</t>
  </si>
  <si>
    <t>斉藤倫</t>
  </si>
  <si>
    <t>ＮＨＫ出版健やかな毎日のための栄養大全</t>
  </si>
  <si>
    <t>上西一弘</t>
  </si>
  <si>
    <t>ワールドトリガー　２５</t>
  </si>
  <si>
    <t>葦原大介</t>
  </si>
  <si>
    <t>台湾の少年　１</t>
  </si>
  <si>
    <t>審議官</t>
  </si>
  <si>
    <t>今野敏</t>
  </si>
  <si>
    <t>八雲立つ灼　７</t>
  </si>
  <si>
    <t>樹なつみ</t>
  </si>
  <si>
    <t>ＳＬＡＭ　ＤＵＮＫ新装再編版　♯１９</t>
  </si>
  <si>
    <t>時間は存在しない</t>
  </si>
  <si>
    <t>カルロ・ロヴェッリ</t>
  </si>
  <si>
    <t>6201:科学読み物</t>
  </si>
  <si>
    <t>女の園の星　１</t>
  </si>
  <si>
    <t>呪術廻戦　１</t>
  </si>
  <si>
    <t>キャンセルカルチャー</t>
  </si>
  <si>
    <t>前嶋和弘</t>
  </si>
  <si>
    <t>多様性の時代を生きるための哲学</t>
  </si>
  <si>
    <t>鹿島茂</t>
  </si>
  <si>
    <t>彼女、お借りします　２９</t>
  </si>
  <si>
    <t>宮島礼吏</t>
  </si>
  <si>
    <t>文系のためのめっちゃやさしい筋肉</t>
  </si>
  <si>
    <t>佐々木一茂</t>
  </si>
  <si>
    <t>ダーウィンズゲーム　２７</t>
  </si>
  <si>
    <t>ＦＬＩＰＦＬＯＰｓ</t>
  </si>
  <si>
    <t>京都不案内</t>
  </si>
  <si>
    <t>森まゆみ</t>
  </si>
  <si>
    <t>世界思想社</t>
  </si>
  <si>
    <t>信仰</t>
  </si>
  <si>
    <t>かがみの孤城</t>
  </si>
  <si>
    <t>キリンに雷が落ちてどうする</t>
  </si>
  <si>
    <t>品田遊</t>
  </si>
  <si>
    <t>ウィッチウォッチ　４</t>
  </si>
  <si>
    <t>１７ー２１</t>
  </si>
  <si>
    <t>久保さんは僕を許さない　１１</t>
  </si>
  <si>
    <t>雪森寧々</t>
  </si>
  <si>
    <t>推しの子　９</t>
  </si>
  <si>
    <t>ぼくはイエローでホワイトで、ちょっとブルー　２</t>
  </si>
  <si>
    <t>呪術廻戦　６</t>
  </si>
  <si>
    <t>るるぶ福岡　’２３</t>
  </si>
  <si>
    <t>「走れメロス」のルーツを追う</t>
  </si>
  <si>
    <t>佐野幹</t>
  </si>
  <si>
    <t>ネアンデルタール人は私たちと交配した</t>
  </si>
  <si>
    <t>スヴァンテ・ペーボ</t>
  </si>
  <si>
    <t>あかね噺　一</t>
  </si>
  <si>
    <t>ＢＬＥＡＣＨ　６５</t>
  </si>
  <si>
    <t>博論日記</t>
  </si>
  <si>
    <t>ティファンヌ・リヴィエール</t>
  </si>
  <si>
    <t>花伝社</t>
  </si>
  <si>
    <t>笑犬楼ｖｓ．偽伯爵</t>
  </si>
  <si>
    <t>台湾の少年　２</t>
  </si>
  <si>
    <t>台湾の少年　３</t>
  </si>
  <si>
    <t>アイドルについて葛藤しながら考えてみた</t>
  </si>
  <si>
    <t>香月孝史</t>
  </si>
  <si>
    <t>日本人と自衛隊</t>
  </si>
  <si>
    <t>アーロン・スキャブランド</t>
  </si>
  <si>
    <t>寒い国のラーゲリで父は死んだ</t>
  </si>
  <si>
    <t>山本顕一</t>
  </si>
  <si>
    <t>バジリコ</t>
  </si>
  <si>
    <t>パズル・ザ・ジャイアント　ｖｏｌ．３６（２０２３年版）</t>
  </si>
  <si>
    <t>ニコリ</t>
  </si>
  <si>
    <t>パズル通信ニコリ別冊</t>
  </si>
  <si>
    <t>中国文学をつまみ食い</t>
  </si>
  <si>
    <t>武田雅哉</t>
  </si>
  <si>
    <t>ミネルヴァ書房</t>
  </si>
  <si>
    <t>シリーズ・世界の文学をひらく</t>
  </si>
  <si>
    <t>ロシア文学からの旅</t>
  </si>
  <si>
    <t>中村唯史</t>
  </si>
  <si>
    <t>自由に生きるための知性とはなにか</t>
  </si>
  <si>
    <t>立命館大学教養教育センター</t>
  </si>
  <si>
    <t>希望の怪物</t>
  </si>
  <si>
    <t>田村景子</t>
  </si>
  <si>
    <t>地図とデータでみる移民の世界ハンドブック</t>
  </si>
  <si>
    <t>カトリーヌ・ヴィトール・ド・ヴァンダン</t>
  </si>
  <si>
    <t>ＷＩＮＤ　ＢＲＥＡＫＥＲ　１０</t>
  </si>
  <si>
    <t>にいさとる</t>
  </si>
  <si>
    <t>ホワイトノイズ</t>
  </si>
  <si>
    <t>ドン・デリーロ</t>
  </si>
  <si>
    <t>フィクションの楽しみ</t>
  </si>
  <si>
    <t>母という呪縛　娘という牢獄</t>
  </si>
  <si>
    <t>齊藤彩</t>
  </si>
  <si>
    <t>並行世界の存在論</t>
  </si>
  <si>
    <t>加藤夢三</t>
  </si>
  <si>
    <t>小説の小説</t>
  </si>
  <si>
    <t>似鳥鶏</t>
  </si>
  <si>
    <t>青いパステル画の男</t>
  </si>
  <si>
    <t>アントワーヌ・ローラン</t>
  </si>
  <si>
    <t>新潮クレスト・ブックス</t>
  </si>
  <si>
    <t>中上健次論</t>
  </si>
  <si>
    <t>渡邊英理</t>
  </si>
  <si>
    <t>インスクリプト</t>
  </si>
  <si>
    <t>第二世界のカルトグラフィ</t>
  </si>
  <si>
    <t>中村隆之</t>
  </si>
  <si>
    <t>共和国</t>
  </si>
  <si>
    <t>境界の文学</t>
  </si>
  <si>
    <t>このミステリーがすごい！　２０２３年版</t>
  </si>
  <si>
    <t>『このミステリーがすごい！』編集部</t>
  </si>
  <si>
    <t>書楼弔堂　待宵</t>
  </si>
  <si>
    <t>京極夏彦</t>
  </si>
  <si>
    <t>ハリガネサービスＡＣＥ　２０</t>
  </si>
  <si>
    <t>荒達哉</t>
  </si>
  <si>
    <t>香君　下</t>
  </si>
  <si>
    <t>きみが死ぬまで恋をしたい　６</t>
  </si>
  <si>
    <t>あおのなち</t>
  </si>
  <si>
    <t>ラブカは静かに弓を持つ</t>
  </si>
  <si>
    <t>安壇美緒</t>
  </si>
  <si>
    <t>アフターコロナの観光学</t>
  </si>
  <si>
    <t>新聞は偉そうに嘘をつく</t>
  </si>
  <si>
    <t>?山正之</t>
  </si>
  <si>
    <t>変見自在セレクション</t>
  </si>
  <si>
    <t>女の子がいる場所は</t>
  </si>
  <si>
    <t>やまじえびね</t>
  </si>
  <si>
    <t>ＢＥＡＭ　ＣＯＭＩＸ</t>
  </si>
  <si>
    <t>クレムリンの魔術師</t>
  </si>
  <si>
    <t>ジュリアーノ・ダ・エンポリ</t>
  </si>
  <si>
    <t>青野くんに触りたいから死にたい　１０</t>
  </si>
  <si>
    <t>椎名うみ</t>
  </si>
  <si>
    <t>マッシュルーＭＡＳＨＬＥー　１４</t>
  </si>
  <si>
    <t>甲本一</t>
  </si>
  <si>
    <t>ロードムービーの想像力</t>
  </si>
  <si>
    <t>ニール・アーチャー</t>
  </si>
  <si>
    <t>晃洋書房</t>
  </si>
  <si>
    <t>忘却にあらがう　平成から令和へ</t>
  </si>
  <si>
    <t>東浩紀</t>
  </si>
  <si>
    <t>呪術廻戦　５</t>
  </si>
  <si>
    <t>ザリガニの鳴くところ</t>
  </si>
  <si>
    <t>ディーリア・オーエンズ</t>
  </si>
  <si>
    <t>映画よさようなら</t>
  </si>
  <si>
    <t>佐々木敦</t>
  </si>
  <si>
    <t>フィルムアート社</t>
  </si>
  <si>
    <t>薫る花は凛と咲く　６</t>
  </si>
  <si>
    <t>三香見サカ</t>
  </si>
  <si>
    <t>杖と剣のウィストリア　６</t>
  </si>
  <si>
    <t>るるぶ台北超ちいサイズ　’２３</t>
  </si>
  <si>
    <t>マンガでわかる！認知症の人が見ている世界　２</t>
  </si>
  <si>
    <t>遠藤英俊</t>
  </si>
  <si>
    <t>世界で一番美しい名作住宅の解剖図鑑</t>
  </si>
  <si>
    <t>中山繁信</t>
  </si>
  <si>
    <t>エクスナレッジ</t>
  </si>
  <si>
    <t>黒岩メダカに私の可愛いが通じない　８</t>
  </si>
  <si>
    <t>久世蘭</t>
  </si>
  <si>
    <t>夢をかなえるゾウ　０</t>
  </si>
  <si>
    <t>万葉考古学</t>
  </si>
  <si>
    <t>上野誠（文学）</t>
  </si>
  <si>
    <t>角川選書</t>
  </si>
  <si>
    <t>ブラックナイトパレード　８</t>
  </si>
  <si>
    <t>中村光</t>
  </si>
  <si>
    <t>チ。ー地球の運動についてー　第２集</t>
  </si>
  <si>
    <t>魚豊</t>
  </si>
  <si>
    <t>モモ</t>
  </si>
  <si>
    <t>ミヒャエル・エンデ</t>
  </si>
  <si>
    <t>岩波少年文庫</t>
  </si>
  <si>
    <t>楽ふがよめる</t>
  </si>
  <si>
    <t>ドラえもんの学習シリーズ</t>
  </si>
  <si>
    <t>税金で買った本　５</t>
  </si>
  <si>
    <t>ずいの</t>
  </si>
  <si>
    <t>ヤングマガジンＫＣ</t>
  </si>
  <si>
    <t>５２ヘルツのクジラたち</t>
  </si>
  <si>
    <t>掬えば手には</t>
  </si>
  <si>
    <t>サクラ、サク。　６</t>
  </si>
  <si>
    <t>咲坂伊緒</t>
  </si>
  <si>
    <t>マーガレットコミックス　別冊マーガレット</t>
  </si>
  <si>
    <t>「羅生門」５５の論点</t>
  </si>
  <si>
    <t>三宅義藏</t>
  </si>
  <si>
    <t>るるぶ愛媛・道後温泉　’２３</t>
  </si>
  <si>
    <t>賭博堕天録カイジ２４億脱出編　２１</t>
  </si>
  <si>
    <t>福本伸行</t>
  </si>
  <si>
    <t>絶縁</t>
  </si>
  <si>
    <t>日本の「第九」</t>
  </si>
  <si>
    <t>矢羽々崇</t>
  </si>
  <si>
    <t>ちいかわなんか小さくてかわいいやつ　４</t>
  </si>
  <si>
    <t>絵画を読む</t>
  </si>
  <si>
    <t>若桑みどり</t>
  </si>
  <si>
    <t>ＮＨＫブックス</t>
  </si>
  <si>
    <t>時の余白に　続々</t>
  </si>
  <si>
    <t>芥川喜好</t>
  </si>
  <si>
    <t>無のまなざし</t>
  </si>
  <si>
    <t>ジョセ・ルイス・ペイショット</t>
  </si>
  <si>
    <t>現代企画室</t>
  </si>
  <si>
    <t>現代ポルトガル文学選集</t>
  </si>
  <si>
    <t>あかね噺　三</t>
  </si>
  <si>
    <t>物語の構造分析</t>
  </si>
  <si>
    <t>合本あんこか、カスタードか。</t>
  </si>
  <si>
    <t>るるぶ長崎　’２４</t>
  </si>
  <si>
    <t>呪術廻戦　２</t>
  </si>
  <si>
    <t>呪術廻戦　３</t>
  </si>
  <si>
    <t>アオアシ　３０</t>
  </si>
  <si>
    <t>小林有吾</t>
  </si>
  <si>
    <t>観世流初心者用五番綴謡本　中巻</t>
  </si>
  <si>
    <t>観世左近</t>
  </si>
  <si>
    <t>桧書店</t>
  </si>
  <si>
    <t>地球の歩き方　Ｄ１１（２０２０～２０２１）</t>
  </si>
  <si>
    <t>うる星やつら復刻ＢＯＸ　Ｖｏｌ．４</t>
  </si>
  <si>
    <t>腹を割ったら血が出るだけさ</t>
  </si>
  <si>
    <t>葬送のフリーレン　１</t>
  </si>
  <si>
    <t>きみはスゴイぜ！</t>
  </si>
  <si>
    <t>マシュー・サイド</t>
  </si>
  <si>
    <t>ＨＵＮＴＥＲ×ＨＵＮＴＥＲ　３４</t>
  </si>
  <si>
    <t>星に仄めかされて</t>
  </si>
  <si>
    <t>小さき者たちの</t>
  </si>
  <si>
    <t>松村圭一郎</t>
  </si>
  <si>
    <t>女子サッカー１４０年史</t>
  </si>
  <si>
    <t>スザンヌ・ラック</t>
  </si>
  <si>
    <t>ちいかわなんか小さくてかわいいやつ　３</t>
  </si>
  <si>
    <t>イジらないで、長瀞さん　１５</t>
  </si>
  <si>
    <t>ナナシ</t>
  </si>
  <si>
    <t>１００万回生きたねこ</t>
  </si>
  <si>
    <t>佐野洋子</t>
  </si>
  <si>
    <t>失踪願望。　コロナふらふら格闘編</t>
  </si>
  <si>
    <t>椎名誠</t>
  </si>
  <si>
    <t>ドイツの家と町並み図鑑</t>
  </si>
  <si>
    <t>久保田由希</t>
  </si>
  <si>
    <t>サッカー・ワールドカップ２０２２メモリアルフォトブック</t>
  </si>
  <si>
    <t>世界文化ブックス</t>
  </si>
  <si>
    <t>ＢＩＧＭＡＮスペシャル</t>
  </si>
  <si>
    <t>にゃんこ四字熟語辞典</t>
  </si>
  <si>
    <t>西川清史</t>
  </si>
  <si>
    <t>アオのハコ　８</t>
  </si>
  <si>
    <t>三浦糀</t>
  </si>
  <si>
    <t>三体　２</t>
  </si>
  <si>
    <t>純粋な人間たち</t>
  </si>
  <si>
    <t>モハメド・ムブガル＝サール</t>
  </si>
  <si>
    <t>英治出版</t>
  </si>
  <si>
    <t>食の哲学</t>
  </si>
  <si>
    <t>サラ　Ｅ．ウォース</t>
  </si>
  <si>
    <t>知識ゼロからのＳＴＥＡＭ教育</t>
  </si>
  <si>
    <t>中島さち子</t>
  </si>
  <si>
    <t>映画は子どもをどう描いてきたか</t>
  </si>
  <si>
    <t>佐藤忠男（映画・教育評論家）</t>
  </si>
  <si>
    <t>東京卍リベンジャーズ　２９</t>
  </si>
  <si>
    <t>名画の中で働く人々　「仕事」で学ぶ西洋史</t>
  </si>
  <si>
    <t>中野京子（ドイツ文学）</t>
  </si>
  <si>
    <t>カナン様はあくまでチョロい　２</t>
  </si>
  <si>
    <t>ｎｏｎｃｏ</t>
  </si>
  <si>
    <t>この部屋から東京タワーは永遠に見えない</t>
  </si>
  <si>
    <t>麻布競馬場</t>
  </si>
  <si>
    <t>青春２０世紀美術講座</t>
  </si>
  <si>
    <t>新見隆</t>
  </si>
  <si>
    <t>東京美術</t>
  </si>
  <si>
    <t>橋下徹の研究</t>
  </si>
  <si>
    <t>百田尚樹</t>
  </si>
  <si>
    <t>呪術廻戦　４</t>
  </si>
  <si>
    <t>シナモンロールにハチミツをかけて</t>
  </si>
  <si>
    <t>岡田昭夫</t>
  </si>
  <si>
    <t>銀の鈴社</t>
  </si>
  <si>
    <t>銀鈴叢書</t>
  </si>
  <si>
    <t>カズオ・イシグロを読む</t>
  </si>
  <si>
    <t>三村尚央</t>
  </si>
  <si>
    <t>夏目漱石『こころ』をどう読むか</t>
  </si>
  <si>
    <t>石原千秋</t>
  </si>
  <si>
    <t>僕のヒーローアカデミア　３５</t>
  </si>
  <si>
    <t>京都おいしい店カタログ　２３ー２４年版</t>
  </si>
  <si>
    <t>韓国現代詩選</t>
  </si>
  <si>
    <t>茨木のり子</t>
  </si>
  <si>
    <t>読書道楽</t>
  </si>
  <si>
    <t>鈴木敏夫</t>
  </si>
  <si>
    <t>アナホリッシュ國文學　第１１号</t>
  </si>
  <si>
    <t>白順社（ゆうプロジェクト）</t>
  </si>
  <si>
    <t>建築を楽しむ教科書</t>
  </si>
  <si>
    <t>ＢＡＲレモン・ハート　３７</t>
  </si>
  <si>
    <t>古谷三敏</t>
  </si>
  <si>
    <t>アクションコミックス</t>
  </si>
  <si>
    <t>ｓｉｌｅｎｔシナリオブック完全版</t>
  </si>
  <si>
    <t>生方美久</t>
  </si>
  <si>
    <t>扶桑社</t>
  </si>
  <si>
    <t>ツイッターで学ぶ「正義の教室」</t>
  </si>
  <si>
    <t>坂爪真吾</t>
  </si>
  <si>
    <t>ゆるキャン△　１４</t>
  </si>
  <si>
    <t>あｆろ</t>
  </si>
  <si>
    <t>まんがタイムＫＲコミックス　ＫＩＲＡＲＡ　ＭＥＮＵ　１８６５</t>
  </si>
  <si>
    <t>食戟のサンジ</t>
  </si>
  <si>
    <t>佐伯俊</t>
  </si>
  <si>
    <t>日々臆測</t>
  </si>
  <si>
    <t>ヨシタケシンスケ</t>
  </si>
  <si>
    <t>光村図書出版</t>
  </si>
  <si>
    <t>飛ぶ教室の本</t>
  </si>
  <si>
    <t>「昭和」を送る</t>
  </si>
  <si>
    <t>彼女はマリウポリからやってきた</t>
  </si>
  <si>
    <t>ナターシャ・ヴォーディン</t>
  </si>
  <si>
    <t>聖家族の終焉とおじさんの逆襲</t>
  </si>
  <si>
    <t>佐藤文彦</t>
  </si>
  <si>
    <t>極彩色　東京卍リベンジャーズ　Ｂｒｉｌｌｉａｎｔ　Ｆｕｌｌ　Ｃｏｌｏｒ　Ｅｄ　１</t>
  </si>
  <si>
    <t>語りと祈り</t>
  </si>
  <si>
    <t>姜信子</t>
  </si>
  <si>
    <t>いただきますの山</t>
  </si>
  <si>
    <t>束元理恵</t>
  </si>
  <si>
    <t>ミチコーポレーション</t>
  </si>
  <si>
    <t>ぞうさん出版</t>
  </si>
  <si>
    <t>黄河源流からロプ湖へ</t>
  </si>
  <si>
    <t>ニコライ・プルジェワルスキー</t>
  </si>
  <si>
    <t>世界探検全集</t>
  </si>
  <si>
    <t>誓願</t>
  </si>
  <si>
    <t>さっちゃんのまほうのて</t>
  </si>
  <si>
    <t>田畑精一</t>
  </si>
  <si>
    <t>プロトコル・オブ・ヒューマニティ</t>
  </si>
  <si>
    <t>長谷敏司</t>
  </si>
  <si>
    <t>〈転生〉する川端康成　１</t>
  </si>
  <si>
    <t>仁平政人</t>
  </si>
  <si>
    <t>文学通信</t>
  </si>
  <si>
    <t>葬送のフリーレン　８</t>
  </si>
  <si>
    <t>「神様」のいる家で育ちました～宗教２世な私たち～</t>
  </si>
  <si>
    <t>菊池真理子</t>
  </si>
  <si>
    <t>家事は大変って気づきましたか？</t>
  </si>
  <si>
    <t>阿古真理</t>
  </si>
  <si>
    <t>欧米の隅々</t>
  </si>
  <si>
    <t>市河晴子</t>
  </si>
  <si>
    <t>素粒社</t>
  </si>
  <si>
    <t>地球の歩き方　Ａ１４（２０２３～２０２４）</t>
  </si>
  <si>
    <t>お嬢さんと嘘と男たちのデス・ロードジェンダー・フェミニズム批評入門</t>
  </si>
  <si>
    <t>北村紗衣</t>
  </si>
  <si>
    <t>ウィッチウォッチ　５</t>
  </si>
  <si>
    <t>ＴＲＡＮＳＩＴ　５８号</t>
  </si>
  <si>
    <t>ユーフォリアファクトリー</t>
  </si>
  <si>
    <t>ｅｕｐｈｏｒｉａ　ＦＡＣＴＯＲＹ</t>
  </si>
  <si>
    <t>講談社ＭＯＯＫ</t>
  </si>
  <si>
    <t>9784140886908</t>
  </si>
  <si>
    <t>9784004319566</t>
  </si>
  <si>
    <t>9784480075284</t>
  </si>
  <si>
    <t>9784004319573</t>
  </si>
  <si>
    <t>9784004319559</t>
  </si>
  <si>
    <t>9784004319580</t>
  </si>
  <si>
    <t>9784121027375</t>
  </si>
  <si>
    <t>9784480075314</t>
  </si>
  <si>
    <t>9784121027344</t>
  </si>
  <si>
    <t>9784004319542</t>
  </si>
  <si>
    <t>9784121027368</t>
  </si>
  <si>
    <t>9784480075338</t>
  </si>
  <si>
    <t>9784106109683</t>
  </si>
  <si>
    <t>9784480075093</t>
  </si>
  <si>
    <t>9784065280867</t>
  </si>
  <si>
    <t>9784480684424</t>
  </si>
  <si>
    <t>9784004319535</t>
  </si>
  <si>
    <t>9784004319511</t>
  </si>
  <si>
    <t>9784480684448</t>
  </si>
  <si>
    <t>9784121027351</t>
  </si>
  <si>
    <t>9784334046408</t>
  </si>
  <si>
    <t>9784065303856</t>
  </si>
  <si>
    <t>9784121027337</t>
  </si>
  <si>
    <t>9784065305720</t>
  </si>
  <si>
    <t>9784106108822</t>
  </si>
  <si>
    <t>9784004319443</t>
  </si>
  <si>
    <t>9784065302507</t>
  </si>
  <si>
    <t>9784480075345</t>
  </si>
  <si>
    <t>9784065304587</t>
  </si>
  <si>
    <t>9784004319474</t>
  </si>
  <si>
    <t>9784004319528</t>
  </si>
  <si>
    <t>9784344986763</t>
  </si>
  <si>
    <t>9784140886922</t>
  </si>
  <si>
    <t>9784166613854</t>
  </si>
  <si>
    <t>9784004319450</t>
  </si>
  <si>
    <t>9784065307304</t>
  </si>
  <si>
    <t>9784480075277</t>
  </si>
  <si>
    <t>9784121027269</t>
  </si>
  <si>
    <t>9784065294383</t>
  </si>
  <si>
    <t>9784815615604</t>
  </si>
  <si>
    <t>9784121026835</t>
  </si>
  <si>
    <t>9784480075352</t>
  </si>
  <si>
    <t>9784121027306</t>
  </si>
  <si>
    <t>9784087210729</t>
  </si>
  <si>
    <t>9784065274859</t>
  </si>
  <si>
    <t>9784121027313</t>
  </si>
  <si>
    <t>9784065299814</t>
  </si>
  <si>
    <t>9784087212488</t>
  </si>
  <si>
    <t>9784005009626</t>
  </si>
  <si>
    <t>9784121027290</t>
  </si>
  <si>
    <t>9784022952028</t>
  </si>
  <si>
    <t>9784480075321</t>
  </si>
  <si>
    <t>9784065308660</t>
  </si>
  <si>
    <t>9784334046422</t>
  </si>
  <si>
    <t>9784121006240</t>
  </si>
  <si>
    <t>9784121027221</t>
  </si>
  <si>
    <t>9784065305386</t>
  </si>
  <si>
    <t>9784121027320</t>
  </si>
  <si>
    <t>9784334046224</t>
  </si>
  <si>
    <t>9784582860214</t>
  </si>
  <si>
    <t>9784004319597</t>
  </si>
  <si>
    <t>9784121507846</t>
  </si>
  <si>
    <t>9784087211351</t>
  </si>
  <si>
    <t>9784065308899</t>
  </si>
  <si>
    <t>9784004319122</t>
  </si>
  <si>
    <t>9784334046453</t>
  </si>
  <si>
    <t>9784334046309</t>
  </si>
  <si>
    <t>9784480684417</t>
  </si>
  <si>
    <t>9784040824307</t>
  </si>
  <si>
    <t>9784334046392</t>
  </si>
  <si>
    <t>9784065302491</t>
  </si>
  <si>
    <t>9784005009619</t>
  </si>
  <si>
    <t>9784166613618</t>
  </si>
  <si>
    <t>9784004319436</t>
  </si>
  <si>
    <t>9784065303870</t>
  </si>
  <si>
    <t>9784121027245</t>
  </si>
  <si>
    <t>9784296114948</t>
  </si>
  <si>
    <t>9784087212334</t>
  </si>
  <si>
    <t>9784480071675</t>
  </si>
  <si>
    <t>9784296116348</t>
  </si>
  <si>
    <t>9784022951953</t>
  </si>
  <si>
    <t>9784004319504</t>
  </si>
  <si>
    <t>9784560510568</t>
  </si>
  <si>
    <t>9784838775095</t>
  </si>
  <si>
    <t>9784121507815</t>
  </si>
  <si>
    <t>9784121507853</t>
  </si>
  <si>
    <t>9784022952004</t>
  </si>
  <si>
    <t>9784106109591</t>
  </si>
  <si>
    <t>9784166613878</t>
  </si>
  <si>
    <t>9784582860191</t>
  </si>
  <si>
    <t>9784480684127</t>
  </si>
  <si>
    <t>9784480075260</t>
  </si>
  <si>
    <t>9784087212464</t>
  </si>
  <si>
    <t>9784065302743</t>
  </si>
  <si>
    <t>9784569853437</t>
  </si>
  <si>
    <t>9784140886830</t>
  </si>
  <si>
    <t>9784121507792</t>
  </si>
  <si>
    <t>9784569843339</t>
  </si>
  <si>
    <t>9784022951977</t>
  </si>
  <si>
    <t>9784334046446</t>
  </si>
  <si>
    <t>9784022650597</t>
  </si>
  <si>
    <t>9784006004606</t>
  </si>
  <si>
    <t>9784003393437</t>
  </si>
  <si>
    <t>9784591169711</t>
  </si>
  <si>
    <t>9784003751350</t>
  </si>
  <si>
    <t>9784101035413</t>
  </si>
  <si>
    <t>9784003012895</t>
  </si>
  <si>
    <t>9784591169728</t>
  </si>
  <si>
    <t>9784041126790</t>
  </si>
  <si>
    <t>9784480511430</t>
  </si>
  <si>
    <t>9784480020475</t>
  </si>
  <si>
    <t>9784480511478</t>
  </si>
  <si>
    <t>9784167911300</t>
  </si>
  <si>
    <t>9784101267715</t>
  </si>
  <si>
    <t>9784480094766</t>
  </si>
  <si>
    <t>9784480511553</t>
  </si>
  <si>
    <t>9784046059772</t>
  </si>
  <si>
    <t>9784065303023</t>
  </si>
  <si>
    <t>9784122072671</t>
  </si>
  <si>
    <t>9784480511638</t>
  </si>
  <si>
    <t>9784065302279</t>
  </si>
  <si>
    <t>9784480511614</t>
  </si>
  <si>
    <t>9784046059765</t>
  </si>
  <si>
    <t>9784480511621</t>
  </si>
  <si>
    <t>9784006004590</t>
  </si>
  <si>
    <t>9784006033354</t>
  </si>
  <si>
    <t>9784044006341</t>
  </si>
  <si>
    <t>9784065306772</t>
  </si>
  <si>
    <t>9784003390122</t>
  </si>
  <si>
    <t>9784101017617</t>
  </si>
  <si>
    <t>9784101250335</t>
  </si>
  <si>
    <t>9784087444735</t>
  </si>
  <si>
    <t>9784044007270</t>
  </si>
  <si>
    <t>9784575513448</t>
  </si>
  <si>
    <t>9784041119860</t>
  </si>
  <si>
    <t>9784344432611</t>
  </si>
  <si>
    <t>9784043878017</t>
  </si>
  <si>
    <t>9784006033347</t>
  </si>
  <si>
    <t>9784003860236</t>
  </si>
  <si>
    <t>9784101017525</t>
  </si>
  <si>
    <t>9784334754747</t>
  </si>
  <si>
    <t>9784151200113</t>
  </si>
  <si>
    <t>9784101259642</t>
  </si>
  <si>
    <t>9784334754730</t>
  </si>
  <si>
    <t>9784065302286</t>
  </si>
  <si>
    <t>9784003510254</t>
  </si>
  <si>
    <t>9784794218780</t>
  </si>
  <si>
    <t>9784101098012</t>
  </si>
  <si>
    <t>9784043878024</t>
  </si>
  <si>
    <t>9784480511386</t>
  </si>
  <si>
    <t>9784591175064</t>
  </si>
  <si>
    <t>9784101207629</t>
  </si>
  <si>
    <t>9784065306802</t>
  </si>
  <si>
    <t>9784006033330</t>
  </si>
  <si>
    <t>9784122071001</t>
  </si>
  <si>
    <t>9784101044514</t>
  </si>
  <si>
    <t>9784101027418</t>
  </si>
  <si>
    <t>9784569902555</t>
  </si>
  <si>
    <t>9784041118498</t>
  </si>
  <si>
    <t>9784022619433</t>
  </si>
  <si>
    <t>9784122072688</t>
  </si>
  <si>
    <t>9784582809121</t>
  </si>
  <si>
    <t>9784003812815</t>
  </si>
  <si>
    <t>9784480511485</t>
  </si>
  <si>
    <t>9784101033815</t>
  </si>
  <si>
    <t>9784479302834</t>
  </si>
  <si>
    <t>9784087442564</t>
  </si>
  <si>
    <t>9784102114018</t>
  </si>
  <si>
    <t>9784006000523</t>
  </si>
  <si>
    <t>9784065303849</t>
  </si>
  <si>
    <t>9784569902562</t>
  </si>
  <si>
    <t>9784062758574</t>
  </si>
  <si>
    <t>9784480511652</t>
  </si>
  <si>
    <t>9784101050454</t>
  </si>
  <si>
    <t>9784480438607</t>
  </si>
  <si>
    <t>9784101388830</t>
  </si>
  <si>
    <t>9784101121154</t>
  </si>
  <si>
    <t>9784167907082</t>
  </si>
  <si>
    <t>9784167917456</t>
  </si>
  <si>
    <t>9784480511522</t>
  </si>
  <si>
    <t>9784006032951</t>
  </si>
  <si>
    <t>9784167917470</t>
  </si>
  <si>
    <t>9784006004545</t>
  </si>
  <si>
    <t>9784088833163</t>
  </si>
  <si>
    <t>9784088925684</t>
  </si>
  <si>
    <t>9784065303443</t>
  </si>
  <si>
    <t>9784098718849</t>
  </si>
  <si>
    <t>9784088925356</t>
  </si>
  <si>
    <t>9784088833118</t>
  </si>
  <si>
    <t>9784088925349</t>
  </si>
  <si>
    <t>9784065300787</t>
  </si>
  <si>
    <t>9784098515325</t>
  </si>
  <si>
    <t>9784088834238</t>
  </si>
  <si>
    <t>9784088925738</t>
  </si>
  <si>
    <t>9784592193791</t>
  </si>
  <si>
    <t>9784088834221</t>
  </si>
  <si>
    <t>9784065299876</t>
  </si>
  <si>
    <t>9784088832715</t>
  </si>
  <si>
    <t>9784065303498</t>
  </si>
  <si>
    <t>9784041128640</t>
  </si>
  <si>
    <t>9784087926026</t>
  </si>
  <si>
    <t>9784065299388</t>
  </si>
  <si>
    <t>9784088833705</t>
  </si>
  <si>
    <t>9784592223207</t>
  </si>
  <si>
    <t>9784088925332</t>
  </si>
  <si>
    <t>9784065302682</t>
  </si>
  <si>
    <t>9784088825274</t>
  </si>
  <si>
    <t>9784088824703</t>
  </si>
  <si>
    <t>9784867204467</t>
  </si>
  <si>
    <t>9784088825762</t>
  </si>
  <si>
    <t>9784065299197</t>
  </si>
  <si>
    <t>9784800012845</t>
  </si>
  <si>
    <t>9784088823768</t>
  </si>
  <si>
    <t>9784088833453</t>
  </si>
  <si>
    <t>9784088832876</t>
  </si>
  <si>
    <t>9784088823287</t>
  </si>
  <si>
    <t>9784088820750</t>
  </si>
  <si>
    <t>9784088821719</t>
  </si>
  <si>
    <t>9784088822242</t>
  </si>
  <si>
    <t>9784098515530</t>
  </si>
  <si>
    <t>9784088832012</t>
  </si>
  <si>
    <t>9784047371729</t>
  </si>
  <si>
    <t>9784041132630</t>
  </si>
  <si>
    <t>9784088820163</t>
  </si>
  <si>
    <t>9784088831275</t>
  </si>
  <si>
    <t>9784065301838</t>
  </si>
  <si>
    <t>9784088818313</t>
  </si>
  <si>
    <t>9784065304785</t>
  </si>
  <si>
    <t>9784065302064</t>
  </si>
  <si>
    <t>9784088817804</t>
  </si>
  <si>
    <t>9784088833439</t>
  </si>
  <si>
    <t>9784065303214</t>
  </si>
  <si>
    <t>9784088833651</t>
  </si>
  <si>
    <t>9784088833545</t>
  </si>
  <si>
    <t>9784757583627</t>
  </si>
  <si>
    <t>9784088831671</t>
  </si>
  <si>
    <t>9784065291351</t>
  </si>
  <si>
    <t>9784088924304</t>
  </si>
  <si>
    <t>9784065296370</t>
  </si>
  <si>
    <t>9784396768690</t>
  </si>
  <si>
    <t>9784065285015</t>
  </si>
  <si>
    <t>9784065297308</t>
  </si>
  <si>
    <t>9784098515349</t>
  </si>
  <si>
    <t>9784088830766</t>
  </si>
  <si>
    <t>9784098515370</t>
  </si>
  <si>
    <t>9784065303474</t>
  </si>
  <si>
    <t>9784098514748</t>
  </si>
  <si>
    <t>9784592228332</t>
  </si>
  <si>
    <t>9784065302675</t>
  </si>
  <si>
    <t>9784088834214</t>
  </si>
  <si>
    <t>9784065231487</t>
  </si>
  <si>
    <t>9784065244791</t>
  </si>
  <si>
    <t>9784098515844</t>
  </si>
  <si>
    <t>9784065220733</t>
  </si>
  <si>
    <t>9784065294895</t>
  </si>
  <si>
    <t>9784065185599</t>
  </si>
  <si>
    <t>9784088824635</t>
  </si>
  <si>
    <t>9784088830681</t>
  </si>
  <si>
    <t>9784065251416</t>
  </si>
  <si>
    <t>9784065279137</t>
  </si>
  <si>
    <t>9784065134009</t>
  </si>
  <si>
    <t>9784065154502</t>
  </si>
  <si>
    <t>9784065203606</t>
  </si>
  <si>
    <t>9784098616152</t>
  </si>
  <si>
    <t>9784088827827</t>
  </si>
  <si>
    <t>9784065216385</t>
  </si>
  <si>
    <t>9784065178874</t>
  </si>
  <si>
    <t>9784065302767</t>
  </si>
  <si>
    <t>9784088833057</t>
  </si>
  <si>
    <t>9784088828480</t>
  </si>
  <si>
    <t>9784088925592</t>
  </si>
  <si>
    <t>9784088834405</t>
  </si>
  <si>
    <t>9784088834207</t>
  </si>
  <si>
    <t>9784065210185</t>
  </si>
  <si>
    <t>9784088834191</t>
  </si>
  <si>
    <t>9784065262863</t>
  </si>
  <si>
    <t>9784065144473</t>
  </si>
  <si>
    <t>9784065141212</t>
  </si>
  <si>
    <t>9784065304853</t>
  </si>
  <si>
    <t>9784088832616</t>
  </si>
  <si>
    <t>9784088924335</t>
  </si>
  <si>
    <t>9784098515318</t>
  </si>
  <si>
    <t>9784065188545</t>
  </si>
  <si>
    <t>順位</t>
    <rPh sb="0" eb="2">
      <t>ジュンイ</t>
    </rPh>
    <phoneticPr fontId="18"/>
  </si>
  <si>
    <t>9784831826442</t>
  </si>
  <si>
    <t>9784041129869</t>
  </si>
  <si>
    <t>9784003403020</t>
  </si>
  <si>
    <t>9784101171562</t>
  </si>
  <si>
    <t>9784488803018</t>
  </si>
  <si>
    <t>9784480511072</t>
  </si>
  <si>
    <t>9784101006055</t>
  </si>
  <si>
    <t>9784480511058</t>
  </si>
  <si>
    <t>9784344428539</t>
  </si>
  <si>
    <t>9784167919214</t>
  </si>
  <si>
    <t>9784794218797</t>
  </si>
  <si>
    <t>9784003751336</t>
  </si>
  <si>
    <t>9784101360638</t>
  </si>
  <si>
    <t>9784344428522</t>
  </si>
  <si>
    <t>9784062748681</t>
  </si>
  <si>
    <t>9784101461410</t>
  </si>
  <si>
    <t>9784480510730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</si>
</sst>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10" xfId="0" applyBorder="1">
      <alignment vertical="center"/>
    </xf>
    <xf numFmtId="14" fontId="0" fillId="0" borderId="10" xfId="0" applyNumberFormat="1" applyBorder="1">
      <alignment vertical="center"/>
    </xf>
    <xf numFmtId="0" fontId="0" fillId="33" borderId="10" xfId="0" applyFill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B1:QY541"/>
  <sheetViews>
    <sheetView workbookViewId="0">
      <selection activeCell="O22" sqref="O22"/>
    </sheetView>
  </sheetViews>
  <sheetFormatPr defaultRowHeight="18.75" x14ac:dyDescent="0.4"/>
  <cols>
    <col min="2" max="2" width="11.875" customWidth="1"/>
    <col min="5" max="5" width="11" customWidth="1"/>
  </cols>
  <sheetData>
    <row r="1" spans="2:467" x14ac:dyDescent="0.4">
      <c r="B1" t="s">
        <v>7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26</v>
      </c>
      <c r="S1" t="s">
        <v>27</v>
      </c>
      <c r="T1" t="s">
        <v>28</v>
      </c>
      <c r="U1" t="s">
        <v>29</v>
      </c>
      <c r="V1" t="s">
        <v>30</v>
      </c>
      <c r="W1" t="s">
        <v>31</v>
      </c>
      <c r="X1" t="s">
        <v>32</v>
      </c>
      <c r="Y1" t="s">
        <v>33</v>
      </c>
      <c r="Z1" t="s">
        <v>34</v>
      </c>
      <c r="AA1" t="s">
        <v>35</v>
      </c>
      <c r="AB1" t="s">
        <v>36</v>
      </c>
      <c r="AC1" t="s">
        <v>37</v>
      </c>
      <c r="AD1" t="s">
        <v>38</v>
      </c>
      <c r="AE1" t="s">
        <v>39</v>
      </c>
      <c r="AF1" t="s">
        <v>40</v>
      </c>
      <c r="AG1" t="s">
        <v>41</v>
      </c>
      <c r="AH1" t="s">
        <v>42</v>
      </c>
      <c r="AI1" t="s">
        <v>43</v>
      </c>
      <c r="AJ1" t="s">
        <v>44</v>
      </c>
      <c r="AK1" t="s">
        <v>45</v>
      </c>
      <c r="AL1" t="s">
        <v>46</v>
      </c>
      <c r="AM1" t="s">
        <v>47</v>
      </c>
      <c r="AN1" t="s">
        <v>48</v>
      </c>
      <c r="AO1" t="s">
        <v>49</v>
      </c>
      <c r="AP1" t="s">
        <v>50</v>
      </c>
      <c r="AQ1" t="s">
        <v>51</v>
      </c>
      <c r="AR1" t="s">
        <v>52</v>
      </c>
      <c r="AS1" t="s">
        <v>53</v>
      </c>
      <c r="AT1" t="s">
        <v>54</v>
      </c>
      <c r="AU1" t="s">
        <v>55</v>
      </c>
      <c r="AV1" t="s">
        <v>56</v>
      </c>
      <c r="AW1" t="s">
        <v>57</v>
      </c>
      <c r="AX1" t="s">
        <v>58</v>
      </c>
      <c r="AY1" t="s">
        <v>59</v>
      </c>
      <c r="AZ1" t="s">
        <v>60</v>
      </c>
      <c r="BA1" t="s">
        <v>61</v>
      </c>
      <c r="BB1" t="s">
        <v>62</v>
      </c>
      <c r="BC1" t="s">
        <v>63</v>
      </c>
      <c r="BD1" t="s">
        <v>64</v>
      </c>
      <c r="BE1" t="s">
        <v>65</v>
      </c>
      <c r="BF1" t="s">
        <v>66</v>
      </c>
      <c r="BG1" t="s">
        <v>67</v>
      </c>
      <c r="BH1" t="s">
        <v>68</v>
      </c>
      <c r="BI1" t="s">
        <v>69</v>
      </c>
      <c r="BJ1" t="s">
        <v>70</v>
      </c>
      <c r="BK1" t="s">
        <v>71</v>
      </c>
      <c r="BL1" t="s">
        <v>72</v>
      </c>
      <c r="BM1" t="s">
        <v>73</v>
      </c>
      <c r="BN1" t="s">
        <v>74</v>
      </c>
      <c r="BO1" t="s">
        <v>75</v>
      </c>
      <c r="BP1" t="s">
        <v>76</v>
      </c>
      <c r="BQ1" t="s">
        <v>77</v>
      </c>
      <c r="BR1" t="s">
        <v>78</v>
      </c>
      <c r="BS1" t="s">
        <v>79</v>
      </c>
      <c r="BT1" t="s">
        <v>80</v>
      </c>
      <c r="BU1" t="s">
        <v>81</v>
      </c>
      <c r="BV1" t="s">
        <v>82</v>
      </c>
      <c r="BW1" t="s">
        <v>83</v>
      </c>
      <c r="BX1" t="s">
        <v>84</v>
      </c>
      <c r="BY1" t="s">
        <v>85</v>
      </c>
      <c r="BZ1" t="s">
        <v>86</v>
      </c>
      <c r="CA1" t="s">
        <v>87</v>
      </c>
      <c r="CB1" t="s">
        <v>88</v>
      </c>
      <c r="CC1" t="s">
        <v>89</v>
      </c>
      <c r="CD1" t="s">
        <v>90</v>
      </c>
      <c r="CE1" t="s">
        <v>91</v>
      </c>
      <c r="CF1" t="s">
        <v>92</v>
      </c>
      <c r="CG1" t="s">
        <v>93</v>
      </c>
      <c r="CH1" t="s">
        <v>94</v>
      </c>
      <c r="CI1" t="s">
        <v>95</v>
      </c>
      <c r="CJ1" t="s">
        <v>96</v>
      </c>
      <c r="CK1" t="s">
        <v>97</v>
      </c>
      <c r="CL1" t="s">
        <v>98</v>
      </c>
      <c r="CM1" t="s">
        <v>99</v>
      </c>
      <c r="CN1" t="s">
        <v>100</v>
      </c>
      <c r="CO1" t="s">
        <v>101</v>
      </c>
      <c r="CP1" t="s">
        <v>102</v>
      </c>
      <c r="CQ1" t="s">
        <v>103</v>
      </c>
      <c r="CR1" t="s">
        <v>104</v>
      </c>
      <c r="CS1" t="s">
        <v>105</v>
      </c>
      <c r="CT1" t="s">
        <v>106</v>
      </c>
      <c r="CU1" t="s">
        <v>107</v>
      </c>
      <c r="CV1" t="s">
        <v>108</v>
      </c>
      <c r="CW1" t="s">
        <v>109</v>
      </c>
      <c r="CX1" t="s">
        <v>110</v>
      </c>
      <c r="CY1" t="s">
        <v>111</v>
      </c>
      <c r="CZ1" t="s">
        <v>112</v>
      </c>
      <c r="DA1" t="s">
        <v>113</v>
      </c>
      <c r="DB1" t="s">
        <v>114</v>
      </c>
      <c r="DC1" t="s">
        <v>115</v>
      </c>
      <c r="DD1" t="s">
        <v>116</v>
      </c>
      <c r="DE1" t="s">
        <v>117</v>
      </c>
      <c r="DF1" t="s">
        <v>118</v>
      </c>
      <c r="DG1" t="s">
        <v>119</v>
      </c>
      <c r="DH1" t="s">
        <v>120</v>
      </c>
      <c r="DI1" t="s">
        <v>121</v>
      </c>
      <c r="DJ1" t="s">
        <v>122</v>
      </c>
      <c r="DK1" t="s">
        <v>123</v>
      </c>
      <c r="DL1" t="s">
        <v>124</v>
      </c>
      <c r="DM1" t="s">
        <v>125</v>
      </c>
      <c r="DN1" t="s">
        <v>126</v>
      </c>
      <c r="DO1" t="s">
        <v>127</v>
      </c>
      <c r="DP1" t="s">
        <v>128</v>
      </c>
      <c r="DQ1" t="s">
        <v>129</v>
      </c>
      <c r="DR1" t="s">
        <v>130</v>
      </c>
      <c r="DS1" t="s">
        <v>131</v>
      </c>
      <c r="DT1" t="s">
        <v>132</v>
      </c>
      <c r="DU1" t="s">
        <v>133</v>
      </c>
      <c r="DV1" t="s">
        <v>134</v>
      </c>
      <c r="DW1" t="s">
        <v>135</v>
      </c>
      <c r="DX1" t="s">
        <v>136</v>
      </c>
      <c r="DY1" t="s">
        <v>137</v>
      </c>
      <c r="DZ1" t="s">
        <v>138</v>
      </c>
      <c r="EA1" t="s">
        <v>139</v>
      </c>
      <c r="EB1" t="s">
        <v>140</v>
      </c>
      <c r="EC1" t="s">
        <v>141</v>
      </c>
      <c r="ED1" t="s">
        <v>142</v>
      </c>
      <c r="EE1" t="s">
        <v>143</v>
      </c>
      <c r="EF1" t="s">
        <v>144</v>
      </c>
      <c r="EG1" t="s">
        <v>145</v>
      </c>
      <c r="EH1" t="s">
        <v>146</v>
      </c>
      <c r="EI1" t="s">
        <v>147</v>
      </c>
      <c r="EJ1" t="s">
        <v>148</v>
      </c>
      <c r="EK1" t="s">
        <v>149</v>
      </c>
      <c r="EL1" t="s">
        <v>150</v>
      </c>
      <c r="EM1" t="s">
        <v>151</v>
      </c>
      <c r="EN1" t="s">
        <v>152</v>
      </c>
      <c r="EO1" t="s">
        <v>153</v>
      </c>
      <c r="EP1" t="s">
        <v>154</v>
      </c>
      <c r="EQ1" t="s">
        <v>155</v>
      </c>
      <c r="ER1" t="s">
        <v>156</v>
      </c>
      <c r="ES1" t="s">
        <v>157</v>
      </c>
      <c r="ET1" t="s">
        <v>158</v>
      </c>
      <c r="EU1" t="s">
        <v>159</v>
      </c>
      <c r="EV1" t="s">
        <v>160</v>
      </c>
      <c r="EW1" t="s">
        <v>161</v>
      </c>
      <c r="EX1" t="s">
        <v>162</v>
      </c>
      <c r="EY1" t="s">
        <v>163</v>
      </c>
      <c r="EZ1" t="s">
        <v>164</v>
      </c>
      <c r="FA1" t="s">
        <v>165</v>
      </c>
      <c r="FB1" t="s">
        <v>166</v>
      </c>
      <c r="FC1" t="s">
        <v>167</v>
      </c>
      <c r="FD1" t="s">
        <v>168</v>
      </c>
      <c r="FE1" t="s">
        <v>169</v>
      </c>
      <c r="FF1" t="s">
        <v>170</v>
      </c>
      <c r="FG1" t="s">
        <v>171</v>
      </c>
      <c r="FH1" t="s">
        <v>172</v>
      </c>
      <c r="FI1" t="s">
        <v>173</v>
      </c>
      <c r="FJ1" t="s">
        <v>174</v>
      </c>
      <c r="FK1" t="s">
        <v>175</v>
      </c>
      <c r="FL1" t="s">
        <v>176</v>
      </c>
      <c r="FM1" t="s">
        <v>177</v>
      </c>
      <c r="FN1" t="s">
        <v>178</v>
      </c>
      <c r="FO1" t="s">
        <v>179</v>
      </c>
      <c r="FP1" t="s">
        <v>180</v>
      </c>
      <c r="FQ1" t="s">
        <v>181</v>
      </c>
      <c r="FR1" t="s">
        <v>182</v>
      </c>
      <c r="FS1" t="s">
        <v>183</v>
      </c>
      <c r="FT1" t="s">
        <v>184</v>
      </c>
      <c r="FU1" t="s">
        <v>185</v>
      </c>
      <c r="FV1" t="s">
        <v>186</v>
      </c>
      <c r="FW1" t="s">
        <v>187</v>
      </c>
      <c r="FX1" t="s">
        <v>188</v>
      </c>
      <c r="FY1" t="s">
        <v>189</v>
      </c>
      <c r="FZ1" t="s">
        <v>190</v>
      </c>
      <c r="GA1" t="s">
        <v>191</v>
      </c>
      <c r="GB1" t="s">
        <v>192</v>
      </c>
      <c r="GC1" t="s">
        <v>193</v>
      </c>
      <c r="GD1" t="s">
        <v>194</v>
      </c>
      <c r="GE1" t="s">
        <v>195</v>
      </c>
      <c r="GF1" t="s">
        <v>196</v>
      </c>
      <c r="GG1" t="s">
        <v>197</v>
      </c>
      <c r="GH1" t="s">
        <v>198</v>
      </c>
      <c r="GI1" t="s">
        <v>199</v>
      </c>
      <c r="GJ1" t="s">
        <v>200</v>
      </c>
      <c r="GK1" t="s">
        <v>201</v>
      </c>
      <c r="GL1" t="s">
        <v>202</v>
      </c>
      <c r="GM1" t="s">
        <v>203</v>
      </c>
      <c r="GN1" t="s">
        <v>204</v>
      </c>
      <c r="GO1" t="s">
        <v>205</v>
      </c>
      <c r="GP1" t="s">
        <v>206</v>
      </c>
      <c r="GQ1" t="s">
        <v>207</v>
      </c>
      <c r="GR1" t="s">
        <v>208</v>
      </c>
      <c r="GS1" t="s">
        <v>209</v>
      </c>
      <c r="GT1" t="s">
        <v>210</v>
      </c>
      <c r="GU1" t="s">
        <v>211</v>
      </c>
      <c r="GV1" t="s">
        <v>212</v>
      </c>
      <c r="GW1" t="s">
        <v>213</v>
      </c>
      <c r="GX1" t="s">
        <v>214</v>
      </c>
      <c r="GY1" t="s">
        <v>215</v>
      </c>
      <c r="GZ1" t="s">
        <v>216</v>
      </c>
      <c r="HA1" t="s">
        <v>217</v>
      </c>
      <c r="HB1" t="s">
        <v>218</v>
      </c>
      <c r="HC1" t="s">
        <v>219</v>
      </c>
      <c r="HD1" t="s">
        <v>220</v>
      </c>
      <c r="HE1" t="s">
        <v>221</v>
      </c>
      <c r="HF1" t="s">
        <v>222</v>
      </c>
      <c r="HG1" t="s">
        <v>223</v>
      </c>
      <c r="HH1" t="s">
        <v>224</v>
      </c>
      <c r="HI1" t="s">
        <v>225</v>
      </c>
      <c r="HJ1" t="s">
        <v>226</v>
      </c>
      <c r="HK1" t="s">
        <v>227</v>
      </c>
      <c r="HL1" t="s">
        <v>228</v>
      </c>
      <c r="HM1" t="s">
        <v>229</v>
      </c>
      <c r="HN1" t="s">
        <v>230</v>
      </c>
      <c r="HO1" t="s">
        <v>231</v>
      </c>
      <c r="HP1" t="s">
        <v>232</v>
      </c>
      <c r="HQ1" t="s">
        <v>233</v>
      </c>
      <c r="HR1" t="s">
        <v>234</v>
      </c>
      <c r="HS1" t="s">
        <v>235</v>
      </c>
      <c r="HT1" t="s">
        <v>236</v>
      </c>
      <c r="HU1" t="s">
        <v>237</v>
      </c>
      <c r="HV1" t="s">
        <v>238</v>
      </c>
      <c r="HW1" t="s">
        <v>239</v>
      </c>
      <c r="HX1" t="s">
        <v>240</v>
      </c>
      <c r="HY1" t="s">
        <v>241</v>
      </c>
      <c r="HZ1" t="s">
        <v>242</v>
      </c>
      <c r="IA1" t="s">
        <v>243</v>
      </c>
      <c r="IB1" t="s">
        <v>244</v>
      </c>
      <c r="IC1" t="s">
        <v>245</v>
      </c>
      <c r="ID1" t="s">
        <v>246</v>
      </c>
      <c r="IE1" t="s">
        <v>247</v>
      </c>
      <c r="IF1" t="s">
        <v>248</v>
      </c>
      <c r="IG1" t="s">
        <v>249</v>
      </c>
      <c r="IH1" t="s">
        <v>250</v>
      </c>
      <c r="II1" t="s">
        <v>251</v>
      </c>
      <c r="IJ1" t="s">
        <v>252</v>
      </c>
      <c r="IK1" t="s">
        <v>253</v>
      </c>
      <c r="IL1" t="s">
        <v>254</v>
      </c>
      <c r="IM1" t="s">
        <v>255</v>
      </c>
      <c r="IN1" t="s">
        <v>256</v>
      </c>
      <c r="IO1" t="s">
        <v>257</v>
      </c>
      <c r="IP1" t="s">
        <v>258</v>
      </c>
      <c r="IQ1" t="s">
        <v>259</v>
      </c>
      <c r="IR1" t="s">
        <v>260</v>
      </c>
      <c r="IS1" t="s">
        <v>261</v>
      </c>
      <c r="IT1" t="s">
        <v>262</v>
      </c>
      <c r="IU1" t="s">
        <v>263</v>
      </c>
      <c r="IV1" t="s">
        <v>264</v>
      </c>
      <c r="IW1" t="s">
        <v>265</v>
      </c>
      <c r="IX1" t="s">
        <v>266</v>
      </c>
      <c r="IY1" t="s">
        <v>267</v>
      </c>
      <c r="IZ1" t="s">
        <v>268</v>
      </c>
      <c r="JA1" t="s">
        <v>269</v>
      </c>
      <c r="JB1" t="s">
        <v>270</v>
      </c>
      <c r="JC1" t="s">
        <v>271</v>
      </c>
      <c r="JD1" t="s">
        <v>272</v>
      </c>
      <c r="JE1" t="s">
        <v>273</v>
      </c>
      <c r="JF1" t="s">
        <v>274</v>
      </c>
      <c r="JG1" t="s">
        <v>275</v>
      </c>
      <c r="JH1" t="s">
        <v>276</v>
      </c>
      <c r="JI1" t="s">
        <v>277</v>
      </c>
      <c r="JJ1" t="s">
        <v>278</v>
      </c>
      <c r="JK1" t="s">
        <v>279</v>
      </c>
      <c r="JL1" t="s">
        <v>280</v>
      </c>
      <c r="JM1" t="s">
        <v>281</v>
      </c>
      <c r="JN1" t="s">
        <v>282</v>
      </c>
      <c r="JO1" t="s">
        <v>283</v>
      </c>
      <c r="JP1" t="s">
        <v>284</v>
      </c>
      <c r="JQ1" t="s">
        <v>285</v>
      </c>
      <c r="JR1" t="s">
        <v>286</v>
      </c>
      <c r="JS1" t="s">
        <v>287</v>
      </c>
      <c r="JT1" t="s">
        <v>288</v>
      </c>
      <c r="JU1" t="s">
        <v>289</v>
      </c>
      <c r="JV1" t="s">
        <v>290</v>
      </c>
      <c r="JW1" t="s">
        <v>291</v>
      </c>
      <c r="JX1" t="s">
        <v>292</v>
      </c>
      <c r="JY1" t="s">
        <v>293</v>
      </c>
      <c r="JZ1" t="s">
        <v>294</v>
      </c>
      <c r="KA1" t="s">
        <v>295</v>
      </c>
      <c r="KB1" t="s">
        <v>296</v>
      </c>
      <c r="KC1" t="s">
        <v>297</v>
      </c>
      <c r="KD1" t="s">
        <v>298</v>
      </c>
      <c r="KE1" t="s">
        <v>299</v>
      </c>
      <c r="KF1" t="s">
        <v>300</v>
      </c>
      <c r="KG1" t="s">
        <v>301</v>
      </c>
      <c r="KH1" t="s">
        <v>302</v>
      </c>
      <c r="KI1" t="s">
        <v>303</v>
      </c>
      <c r="KJ1" t="s">
        <v>304</v>
      </c>
      <c r="KK1" t="s">
        <v>305</v>
      </c>
      <c r="KL1" t="s">
        <v>306</v>
      </c>
      <c r="KM1" t="s">
        <v>307</v>
      </c>
      <c r="KN1" t="s">
        <v>308</v>
      </c>
      <c r="KO1" t="s">
        <v>309</v>
      </c>
      <c r="KP1" t="s">
        <v>310</v>
      </c>
      <c r="KQ1" t="s">
        <v>311</v>
      </c>
      <c r="KR1" t="s">
        <v>312</v>
      </c>
      <c r="KS1" t="s">
        <v>313</v>
      </c>
      <c r="KT1" t="s">
        <v>314</v>
      </c>
      <c r="KU1" t="s">
        <v>315</v>
      </c>
      <c r="KV1" t="s">
        <v>316</v>
      </c>
      <c r="KW1" t="s">
        <v>317</v>
      </c>
      <c r="KX1" t="s">
        <v>318</v>
      </c>
      <c r="KY1" t="s">
        <v>319</v>
      </c>
      <c r="KZ1" t="s">
        <v>320</v>
      </c>
      <c r="LA1" t="s">
        <v>321</v>
      </c>
      <c r="LB1" t="s">
        <v>322</v>
      </c>
      <c r="LC1" t="s">
        <v>323</v>
      </c>
      <c r="LD1" t="s">
        <v>324</v>
      </c>
      <c r="LE1" t="s">
        <v>325</v>
      </c>
      <c r="LF1" t="s">
        <v>326</v>
      </c>
      <c r="LG1" t="s">
        <v>327</v>
      </c>
      <c r="LH1" t="s">
        <v>328</v>
      </c>
      <c r="LI1" t="s">
        <v>329</v>
      </c>
      <c r="LJ1" t="s">
        <v>330</v>
      </c>
      <c r="LK1" t="s">
        <v>331</v>
      </c>
      <c r="LL1" t="s">
        <v>332</v>
      </c>
      <c r="LM1" t="s">
        <v>333</v>
      </c>
      <c r="LN1" t="s">
        <v>334</v>
      </c>
      <c r="LO1" t="s">
        <v>335</v>
      </c>
      <c r="LP1" t="s">
        <v>336</v>
      </c>
      <c r="LQ1" t="s">
        <v>337</v>
      </c>
      <c r="LR1" t="s">
        <v>338</v>
      </c>
      <c r="LS1" t="s">
        <v>339</v>
      </c>
      <c r="LT1" t="s">
        <v>340</v>
      </c>
      <c r="LU1" t="s">
        <v>341</v>
      </c>
      <c r="LV1" t="s">
        <v>342</v>
      </c>
      <c r="LW1" t="s">
        <v>343</v>
      </c>
      <c r="LX1" t="s">
        <v>344</v>
      </c>
      <c r="LY1" t="s">
        <v>345</v>
      </c>
      <c r="LZ1" t="s">
        <v>346</v>
      </c>
      <c r="MA1" t="s">
        <v>347</v>
      </c>
      <c r="MB1" t="s">
        <v>348</v>
      </c>
      <c r="MC1" t="s">
        <v>349</v>
      </c>
      <c r="MD1" t="s">
        <v>350</v>
      </c>
      <c r="ME1" t="s">
        <v>351</v>
      </c>
      <c r="MF1" t="s">
        <v>352</v>
      </c>
      <c r="MG1" t="s">
        <v>353</v>
      </c>
      <c r="MH1" t="s">
        <v>354</v>
      </c>
      <c r="MI1" t="s">
        <v>355</v>
      </c>
      <c r="MJ1" t="s">
        <v>356</v>
      </c>
      <c r="MK1" t="s">
        <v>357</v>
      </c>
      <c r="ML1" t="s">
        <v>358</v>
      </c>
      <c r="MM1" t="s">
        <v>359</v>
      </c>
      <c r="MN1" t="s">
        <v>360</v>
      </c>
      <c r="MO1" t="s">
        <v>361</v>
      </c>
      <c r="MP1" t="s">
        <v>362</v>
      </c>
      <c r="MQ1" t="s">
        <v>363</v>
      </c>
      <c r="MR1" t="s">
        <v>364</v>
      </c>
      <c r="MS1" t="s">
        <v>365</v>
      </c>
      <c r="MT1" t="s">
        <v>366</v>
      </c>
      <c r="MU1" t="s">
        <v>367</v>
      </c>
      <c r="MV1" t="s">
        <v>368</v>
      </c>
      <c r="MW1" t="s">
        <v>369</v>
      </c>
      <c r="MX1" t="s">
        <v>370</v>
      </c>
      <c r="MY1" t="s">
        <v>371</v>
      </c>
      <c r="MZ1" t="s">
        <v>372</v>
      </c>
      <c r="NA1" t="s">
        <v>373</v>
      </c>
      <c r="NB1" t="s">
        <v>374</v>
      </c>
      <c r="NC1" t="s">
        <v>375</v>
      </c>
      <c r="ND1" t="s">
        <v>376</v>
      </c>
      <c r="NE1" t="s">
        <v>377</v>
      </c>
      <c r="NF1" t="s">
        <v>378</v>
      </c>
      <c r="NG1" t="s">
        <v>379</v>
      </c>
      <c r="NH1" t="s">
        <v>380</v>
      </c>
      <c r="NI1" t="s">
        <v>381</v>
      </c>
      <c r="NJ1" t="s">
        <v>382</v>
      </c>
      <c r="NK1" t="s">
        <v>383</v>
      </c>
      <c r="NL1" t="s">
        <v>384</v>
      </c>
      <c r="NM1" t="s">
        <v>385</v>
      </c>
      <c r="NN1" t="s">
        <v>386</v>
      </c>
      <c r="NO1" t="s">
        <v>387</v>
      </c>
      <c r="NP1" t="s">
        <v>388</v>
      </c>
      <c r="NQ1" t="s">
        <v>389</v>
      </c>
      <c r="NR1" t="s">
        <v>390</v>
      </c>
      <c r="NS1" t="s">
        <v>391</v>
      </c>
      <c r="NT1" t="s">
        <v>392</v>
      </c>
      <c r="NU1" t="s">
        <v>393</v>
      </c>
      <c r="NV1" t="s">
        <v>394</v>
      </c>
      <c r="NW1" t="s">
        <v>395</v>
      </c>
      <c r="NX1" t="s">
        <v>396</v>
      </c>
      <c r="NY1" t="s">
        <v>397</v>
      </c>
      <c r="NZ1" t="s">
        <v>398</v>
      </c>
      <c r="OA1" t="s">
        <v>399</v>
      </c>
      <c r="OB1" t="s">
        <v>400</v>
      </c>
      <c r="OC1" t="s">
        <v>401</v>
      </c>
      <c r="OD1" t="s">
        <v>402</v>
      </c>
      <c r="OE1" t="s">
        <v>403</v>
      </c>
      <c r="OF1" t="s">
        <v>404</v>
      </c>
      <c r="OG1" t="s">
        <v>405</v>
      </c>
      <c r="OH1" t="s">
        <v>406</v>
      </c>
      <c r="OI1" t="s">
        <v>407</v>
      </c>
      <c r="OJ1" t="s">
        <v>408</v>
      </c>
      <c r="OK1" t="s">
        <v>409</v>
      </c>
      <c r="OL1" t="s">
        <v>410</v>
      </c>
      <c r="OM1" t="s">
        <v>411</v>
      </c>
      <c r="ON1" t="s">
        <v>412</v>
      </c>
      <c r="OO1" t="s">
        <v>413</v>
      </c>
      <c r="OP1" t="s">
        <v>414</v>
      </c>
      <c r="OQ1" t="s">
        <v>415</v>
      </c>
      <c r="OR1" t="s">
        <v>416</v>
      </c>
      <c r="OS1" t="s">
        <v>417</v>
      </c>
      <c r="OT1" t="s">
        <v>418</v>
      </c>
      <c r="OU1" t="s">
        <v>419</v>
      </c>
      <c r="OV1" t="s">
        <v>420</v>
      </c>
      <c r="OW1" t="s">
        <v>421</v>
      </c>
      <c r="OX1" t="s">
        <v>422</v>
      </c>
      <c r="OY1" t="s">
        <v>423</v>
      </c>
      <c r="OZ1" t="s">
        <v>424</v>
      </c>
      <c r="PA1" t="s">
        <v>425</v>
      </c>
      <c r="PB1" t="s">
        <v>426</v>
      </c>
      <c r="PC1" t="s">
        <v>427</v>
      </c>
      <c r="PD1" t="s">
        <v>428</v>
      </c>
      <c r="PE1" t="s">
        <v>429</v>
      </c>
      <c r="PF1" t="s">
        <v>430</v>
      </c>
      <c r="PG1" t="s">
        <v>431</v>
      </c>
      <c r="PH1" t="s">
        <v>432</v>
      </c>
      <c r="PI1" t="s">
        <v>433</v>
      </c>
      <c r="PJ1" t="s">
        <v>434</v>
      </c>
      <c r="PK1" t="s">
        <v>435</v>
      </c>
      <c r="PL1" t="s">
        <v>436</v>
      </c>
      <c r="PM1" t="s">
        <v>437</v>
      </c>
      <c r="PN1" t="s">
        <v>438</v>
      </c>
      <c r="PO1" t="s">
        <v>439</v>
      </c>
      <c r="PP1" t="s">
        <v>440</v>
      </c>
      <c r="PQ1" t="s">
        <v>441</v>
      </c>
      <c r="PR1" t="s">
        <v>442</v>
      </c>
      <c r="PS1" t="s">
        <v>443</v>
      </c>
      <c r="PT1" t="s">
        <v>444</v>
      </c>
      <c r="PU1" t="s">
        <v>445</v>
      </c>
      <c r="PV1" t="s">
        <v>446</v>
      </c>
      <c r="PW1" t="s">
        <v>447</v>
      </c>
      <c r="PX1" t="s">
        <v>448</v>
      </c>
      <c r="PY1" t="s">
        <v>449</v>
      </c>
      <c r="PZ1" t="s">
        <v>450</v>
      </c>
      <c r="QA1" t="s">
        <v>451</v>
      </c>
      <c r="QB1" t="s">
        <v>452</v>
      </c>
      <c r="QC1" t="s">
        <v>453</v>
      </c>
      <c r="QD1" t="s">
        <v>454</v>
      </c>
      <c r="QE1" t="s">
        <v>455</v>
      </c>
      <c r="QF1" t="s">
        <v>456</v>
      </c>
      <c r="QG1" t="s">
        <v>457</v>
      </c>
      <c r="QH1" t="s">
        <v>458</v>
      </c>
      <c r="QI1" t="s">
        <v>459</v>
      </c>
      <c r="QJ1" t="s">
        <v>460</v>
      </c>
      <c r="QK1" t="s">
        <v>461</v>
      </c>
      <c r="QL1" t="s">
        <v>462</v>
      </c>
      <c r="QM1" t="s">
        <v>463</v>
      </c>
      <c r="QN1" t="s">
        <v>464</v>
      </c>
      <c r="QO1" t="s">
        <v>465</v>
      </c>
      <c r="QP1" t="s">
        <v>466</v>
      </c>
      <c r="QQ1" t="s">
        <v>467</v>
      </c>
      <c r="QR1" t="s">
        <v>468</v>
      </c>
      <c r="QS1" t="s">
        <v>469</v>
      </c>
      <c r="QT1" t="s">
        <v>470</v>
      </c>
      <c r="QU1" t="s">
        <v>471</v>
      </c>
      <c r="QV1" t="s">
        <v>472</v>
      </c>
      <c r="QW1" t="s">
        <v>473</v>
      </c>
      <c r="QX1" t="s">
        <v>474</v>
      </c>
      <c r="QY1" t="s">
        <v>475</v>
      </c>
    </row>
    <row r="2" spans="2:467" hidden="1" x14ac:dyDescent="0.4">
      <c r="O2" t="s">
        <v>476</v>
      </c>
      <c r="P2" t="s">
        <v>477</v>
      </c>
      <c r="Q2" t="s">
        <v>477</v>
      </c>
      <c r="R2">
        <v>0</v>
      </c>
      <c r="S2">
        <v>87</v>
      </c>
      <c r="T2">
        <v>93</v>
      </c>
      <c r="U2">
        <v>70</v>
      </c>
      <c r="V2">
        <v>2</v>
      </c>
      <c r="W2">
        <v>51</v>
      </c>
      <c r="X2">
        <v>1</v>
      </c>
      <c r="Y2">
        <v>81</v>
      </c>
      <c r="Z2">
        <v>4</v>
      </c>
      <c r="AA2">
        <v>31</v>
      </c>
      <c r="AB2">
        <v>13</v>
      </c>
      <c r="AC2">
        <v>0</v>
      </c>
      <c r="AD2">
        <v>4</v>
      </c>
      <c r="AE2">
        <v>41</v>
      </c>
      <c r="AF2">
        <v>0</v>
      </c>
      <c r="AG2">
        <v>41</v>
      </c>
      <c r="AH2">
        <v>0</v>
      </c>
      <c r="AI2">
        <v>8</v>
      </c>
      <c r="AJ2">
        <v>13</v>
      </c>
      <c r="AK2">
        <v>13</v>
      </c>
      <c r="AL2">
        <v>46</v>
      </c>
      <c r="AM2">
        <v>3</v>
      </c>
      <c r="AN2">
        <v>19</v>
      </c>
      <c r="AO2">
        <v>0</v>
      </c>
      <c r="AP2">
        <v>1</v>
      </c>
      <c r="AQ2">
        <v>0</v>
      </c>
      <c r="AR2">
        <v>0</v>
      </c>
      <c r="AS2">
        <v>1</v>
      </c>
      <c r="AT2">
        <v>2</v>
      </c>
      <c r="AU2">
        <v>0</v>
      </c>
      <c r="AV2">
        <v>138</v>
      </c>
      <c r="AW2">
        <v>7</v>
      </c>
      <c r="AX2">
        <v>0</v>
      </c>
      <c r="AY2">
        <v>0</v>
      </c>
      <c r="AZ2">
        <v>0</v>
      </c>
      <c r="BA2">
        <v>33</v>
      </c>
      <c r="BB2">
        <v>96</v>
      </c>
      <c r="BC2">
        <v>3</v>
      </c>
      <c r="BD2">
        <v>34</v>
      </c>
      <c r="BE2">
        <v>55</v>
      </c>
      <c r="BF2">
        <v>1</v>
      </c>
      <c r="BG2">
        <v>57</v>
      </c>
      <c r="BH2">
        <v>3</v>
      </c>
      <c r="BI2">
        <v>10</v>
      </c>
      <c r="BJ2">
        <v>3</v>
      </c>
      <c r="BK2">
        <v>0</v>
      </c>
      <c r="BL2">
        <v>106</v>
      </c>
      <c r="BM2">
        <v>100</v>
      </c>
      <c r="BN2">
        <v>19</v>
      </c>
      <c r="BO2">
        <v>9</v>
      </c>
      <c r="BP2">
        <v>19</v>
      </c>
      <c r="BQ2">
        <v>12</v>
      </c>
      <c r="BR2">
        <v>35</v>
      </c>
      <c r="BS2">
        <v>39</v>
      </c>
      <c r="BT2">
        <v>8</v>
      </c>
      <c r="BU2">
        <v>3</v>
      </c>
      <c r="BV2">
        <v>8</v>
      </c>
      <c r="BW2">
        <v>0</v>
      </c>
      <c r="BX2">
        <v>0</v>
      </c>
      <c r="BY2">
        <v>3</v>
      </c>
      <c r="BZ2">
        <v>3</v>
      </c>
      <c r="CA2">
        <v>415</v>
      </c>
      <c r="CB2">
        <v>0</v>
      </c>
      <c r="CC2">
        <v>13</v>
      </c>
      <c r="CD2">
        <v>2</v>
      </c>
      <c r="CE2">
        <v>2</v>
      </c>
      <c r="CF2">
        <v>0</v>
      </c>
      <c r="CG2">
        <v>0</v>
      </c>
      <c r="CH2">
        <v>685</v>
      </c>
      <c r="CI2">
        <v>333</v>
      </c>
      <c r="CJ2">
        <v>11</v>
      </c>
      <c r="CK2">
        <v>6</v>
      </c>
      <c r="CL2">
        <v>1</v>
      </c>
      <c r="CM2">
        <v>0</v>
      </c>
      <c r="CN2">
        <v>0</v>
      </c>
      <c r="CO2">
        <v>0</v>
      </c>
      <c r="CP2">
        <v>0</v>
      </c>
      <c r="CQ2">
        <v>398</v>
      </c>
      <c r="CR2">
        <v>17</v>
      </c>
      <c r="CS2">
        <v>78</v>
      </c>
      <c r="CT2">
        <v>332</v>
      </c>
      <c r="CU2">
        <v>0</v>
      </c>
      <c r="CV2">
        <v>0</v>
      </c>
      <c r="CW2">
        <v>0</v>
      </c>
      <c r="CX2">
        <v>22</v>
      </c>
      <c r="CY2">
        <v>23</v>
      </c>
      <c r="CZ2">
        <v>11</v>
      </c>
      <c r="DA2">
        <v>0</v>
      </c>
      <c r="DB2">
        <v>76</v>
      </c>
      <c r="DC2">
        <v>200</v>
      </c>
      <c r="DD2">
        <v>2</v>
      </c>
      <c r="DE2">
        <v>3</v>
      </c>
      <c r="DF2">
        <v>30</v>
      </c>
      <c r="DG2">
        <v>0</v>
      </c>
      <c r="DH2">
        <v>0</v>
      </c>
      <c r="DI2">
        <v>26</v>
      </c>
      <c r="DJ2">
        <v>7</v>
      </c>
      <c r="DK2">
        <v>0</v>
      </c>
      <c r="DL2">
        <v>46</v>
      </c>
      <c r="DM2">
        <v>21</v>
      </c>
      <c r="DN2">
        <v>0</v>
      </c>
      <c r="DO2">
        <v>15</v>
      </c>
      <c r="DP2">
        <v>6</v>
      </c>
      <c r="DQ2">
        <v>0</v>
      </c>
      <c r="DR2">
        <v>1</v>
      </c>
      <c r="DS2">
        <v>0</v>
      </c>
      <c r="DT2">
        <v>39</v>
      </c>
      <c r="DU2">
        <v>0</v>
      </c>
      <c r="DV2">
        <v>0</v>
      </c>
      <c r="DW2">
        <v>3</v>
      </c>
      <c r="DX2">
        <v>1</v>
      </c>
      <c r="DY2">
        <v>164</v>
      </c>
      <c r="DZ2">
        <v>3</v>
      </c>
      <c r="EA2">
        <v>1</v>
      </c>
      <c r="EB2">
        <v>16</v>
      </c>
      <c r="EC2">
        <v>17</v>
      </c>
      <c r="ED2">
        <v>57</v>
      </c>
      <c r="EE2">
        <v>5</v>
      </c>
      <c r="EF2">
        <v>46</v>
      </c>
      <c r="EG2">
        <v>7</v>
      </c>
      <c r="EH2">
        <v>65</v>
      </c>
      <c r="EI2">
        <v>0</v>
      </c>
      <c r="EJ2">
        <v>0</v>
      </c>
      <c r="EK2">
        <v>1</v>
      </c>
      <c r="EL2">
        <v>0</v>
      </c>
      <c r="EM2">
        <v>15</v>
      </c>
      <c r="EN2">
        <v>11</v>
      </c>
      <c r="EO2">
        <v>0</v>
      </c>
      <c r="EP2">
        <v>0</v>
      </c>
      <c r="EQ2">
        <v>3</v>
      </c>
      <c r="ER2">
        <v>9</v>
      </c>
      <c r="ES2">
        <v>21</v>
      </c>
      <c r="ET2">
        <v>81</v>
      </c>
      <c r="EU2">
        <v>4</v>
      </c>
      <c r="EV2">
        <v>17</v>
      </c>
      <c r="EW2">
        <v>8</v>
      </c>
      <c r="EX2">
        <v>0</v>
      </c>
      <c r="EY2">
        <v>1</v>
      </c>
      <c r="EZ2">
        <v>4</v>
      </c>
      <c r="FA2">
        <v>44</v>
      </c>
      <c r="FB2">
        <v>5</v>
      </c>
      <c r="FC2">
        <v>0</v>
      </c>
      <c r="FD2">
        <v>78</v>
      </c>
      <c r="FE2">
        <v>29</v>
      </c>
      <c r="FF2">
        <v>18</v>
      </c>
      <c r="FG2">
        <v>0</v>
      </c>
      <c r="FH2">
        <v>52</v>
      </c>
      <c r="FI2">
        <v>0</v>
      </c>
      <c r="FJ2">
        <v>17</v>
      </c>
      <c r="FK2">
        <v>2</v>
      </c>
      <c r="FL2">
        <v>3</v>
      </c>
      <c r="FM2">
        <v>0</v>
      </c>
      <c r="FN2">
        <v>0</v>
      </c>
      <c r="FO2">
        <v>129</v>
      </c>
      <c r="FP2">
        <v>2</v>
      </c>
      <c r="FQ2">
        <v>2</v>
      </c>
      <c r="FR2">
        <v>3</v>
      </c>
      <c r="FS2">
        <v>0</v>
      </c>
      <c r="FT2">
        <v>122</v>
      </c>
      <c r="FU2">
        <v>0</v>
      </c>
      <c r="FV2">
        <v>63</v>
      </c>
      <c r="FW2">
        <v>0</v>
      </c>
      <c r="FX2">
        <v>329</v>
      </c>
      <c r="FY2">
        <v>28</v>
      </c>
      <c r="FZ2">
        <v>10</v>
      </c>
      <c r="GA2">
        <v>4</v>
      </c>
      <c r="GB2">
        <v>16</v>
      </c>
      <c r="GC2">
        <v>14</v>
      </c>
      <c r="GD2">
        <v>27</v>
      </c>
      <c r="GE2">
        <v>0</v>
      </c>
      <c r="GF2">
        <v>4</v>
      </c>
      <c r="GG2">
        <v>1</v>
      </c>
      <c r="GH2">
        <v>0</v>
      </c>
      <c r="GI2">
        <v>145</v>
      </c>
      <c r="GJ2">
        <v>2</v>
      </c>
      <c r="GK2">
        <v>0</v>
      </c>
      <c r="GL2">
        <v>19</v>
      </c>
      <c r="GM2">
        <v>4</v>
      </c>
      <c r="GN2">
        <v>89</v>
      </c>
      <c r="GO2">
        <v>7</v>
      </c>
      <c r="GP2">
        <v>1</v>
      </c>
      <c r="GQ2">
        <v>10</v>
      </c>
      <c r="GR2">
        <v>19</v>
      </c>
      <c r="GS2">
        <v>0</v>
      </c>
      <c r="GT2">
        <v>6</v>
      </c>
      <c r="GU2">
        <v>9</v>
      </c>
      <c r="GV2">
        <v>1</v>
      </c>
      <c r="GW2">
        <v>15</v>
      </c>
      <c r="GX2">
        <v>6</v>
      </c>
      <c r="GY2">
        <v>18</v>
      </c>
      <c r="GZ2">
        <v>53</v>
      </c>
      <c r="HA2">
        <v>10</v>
      </c>
      <c r="HB2">
        <v>0</v>
      </c>
      <c r="HC2">
        <v>51</v>
      </c>
      <c r="HD2">
        <v>3</v>
      </c>
      <c r="HE2">
        <v>6</v>
      </c>
      <c r="HF2">
        <v>82</v>
      </c>
      <c r="HG2">
        <v>0</v>
      </c>
      <c r="HH2">
        <v>5</v>
      </c>
      <c r="HI2">
        <v>0</v>
      </c>
      <c r="HJ2">
        <v>0</v>
      </c>
      <c r="HK2">
        <v>52</v>
      </c>
      <c r="HL2">
        <v>0</v>
      </c>
      <c r="HM2">
        <v>46</v>
      </c>
      <c r="HN2">
        <v>7</v>
      </c>
      <c r="HO2">
        <v>2</v>
      </c>
      <c r="HP2">
        <v>6</v>
      </c>
      <c r="HQ2">
        <v>0</v>
      </c>
      <c r="HR2">
        <v>0</v>
      </c>
      <c r="HS2">
        <v>0</v>
      </c>
      <c r="HT2">
        <v>0</v>
      </c>
      <c r="HU2">
        <v>119</v>
      </c>
      <c r="HV2">
        <v>168</v>
      </c>
      <c r="HW2">
        <v>22</v>
      </c>
      <c r="HX2">
        <v>1</v>
      </c>
      <c r="HY2">
        <v>30</v>
      </c>
      <c r="HZ2">
        <v>0</v>
      </c>
      <c r="IA2">
        <v>0</v>
      </c>
      <c r="IB2">
        <v>49</v>
      </c>
      <c r="IC2">
        <v>1</v>
      </c>
      <c r="ID2">
        <v>57</v>
      </c>
      <c r="IE2">
        <v>0</v>
      </c>
      <c r="IF2">
        <v>129</v>
      </c>
      <c r="IG2">
        <v>21</v>
      </c>
      <c r="IH2">
        <v>5</v>
      </c>
      <c r="II2">
        <v>1</v>
      </c>
      <c r="IJ2">
        <v>5</v>
      </c>
      <c r="IK2">
        <v>210</v>
      </c>
      <c r="IL2">
        <v>62</v>
      </c>
      <c r="IM2">
        <v>1</v>
      </c>
      <c r="IN2">
        <v>58</v>
      </c>
      <c r="IO2">
        <v>39</v>
      </c>
      <c r="IP2">
        <v>0</v>
      </c>
      <c r="IQ2">
        <v>18</v>
      </c>
      <c r="IR2">
        <v>2</v>
      </c>
      <c r="IS2">
        <v>0</v>
      </c>
      <c r="IT2">
        <v>95</v>
      </c>
      <c r="IU2">
        <v>22</v>
      </c>
      <c r="IV2">
        <v>44</v>
      </c>
      <c r="IW2">
        <v>23</v>
      </c>
      <c r="IX2">
        <v>6</v>
      </c>
      <c r="IY2">
        <v>106</v>
      </c>
      <c r="IZ2">
        <v>7</v>
      </c>
      <c r="JA2">
        <v>10</v>
      </c>
      <c r="JB2">
        <v>11</v>
      </c>
      <c r="JC2">
        <v>4</v>
      </c>
      <c r="JD2">
        <v>0</v>
      </c>
      <c r="JE2">
        <v>0</v>
      </c>
      <c r="JF2">
        <v>604</v>
      </c>
      <c r="JG2">
        <v>33</v>
      </c>
      <c r="JH2">
        <v>1</v>
      </c>
      <c r="JI2">
        <v>3</v>
      </c>
      <c r="JJ2">
        <v>36</v>
      </c>
      <c r="JK2">
        <v>0</v>
      </c>
      <c r="JL2">
        <v>7</v>
      </c>
      <c r="JM2">
        <v>572</v>
      </c>
      <c r="JN2">
        <v>29</v>
      </c>
      <c r="JO2">
        <v>25</v>
      </c>
      <c r="JP2">
        <v>23</v>
      </c>
      <c r="JQ2">
        <v>219</v>
      </c>
      <c r="JR2">
        <v>68</v>
      </c>
      <c r="JS2">
        <v>0</v>
      </c>
      <c r="JT2">
        <v>72</v>
      </c>
      <c r="JU2">
        <v>33</v>
      </c>
      <c r="JV2">
        <v>0</v>
      </c>
      <c r="JW2">
        <v>23</v>
      </c>
      <c r="JX2">
        <v>3</v>
      </c>
      <c r="JY2">
        <v>35</v>
      </c>
      <c r="JZ2">
        <v>13</v>
      </c>
      <c r="KA2">
        <v>0</v>
      </c>
      <c r="KB2">
        <v>130</v>
      </c>
      <c r="KC2">
        <v>13</v>
      </c>
      <c r="KD2">
        <v>0</v>
      </c>
      <c r="KE2">
        <v>5</v>
      </c>
      <c r="KF2">
        <v>9</v>
      </c>
      <c r="KG2">
        <v>15</v>
      </c>
      <c r="KH2">
        <v>1</v>
      </c>
      <c r="KI2">
        <v>0</v>
      </c>
      <c r="KJ2">
        <v>0</v>
      </c>
      <c r="KK2">
        <v>19</v>
      </c>
      <c r="KL2">
        <v>21</v>
      </c>
      <c r="KM2">
        <v>3</v>
      </c>
      <c r="KN2">
        <v>0</v>
      </c>
      <c r="KO2">
        <v>0</v>
      </c>
      <c r="KP2">
        <v>4</v>
      </c>
      <c r="KQ2">
        <v>20</v>
      </c>
      <c r="KR2">
        <v>17</v>
      </c>
      <c r="KS2">
        <v>5</v>
      </c>
      <c r="KT2">
        <v>3</v>
      </c>
      <c r="KU2">
        <v>0</v>
      </c>
      <c r="KV2">
        <v>56</v>
      </c>
      <c r="KW2">
        <v>2</v>
      </c>
      <c r="KX2">
        <v>0</v>
      </c>
      <c r="KY2">
        <v>0</v>
      </c>
      <c r="KZ2">
        <v>5</v>
      </c>
      <c r="LA2">
        <v>0</v>
      </c>
      <c r="LB2">
        <v>1</v>
      </c>
      <c r="LC2">
        <v>0</v>
      </c>
      <c r="LD2">
        <v>1</v>
      </c>
      <c r="LE2">
        <v>4</v>
      </c>
      <c r="LF2">
        <v>12</v>
      </c>
      <c r="LG2">
        <v>3</v>
      </c>
      <c r="LH2">
        <v>11</v>
      </c>
      <c r="LI2">
        <v>0</v>
      </c>
      <c r="LJ2">
        <v>28</v>
      </c>
      <c r="LK2">
        <v>0</v>
      </c>
      <c r="LL2">
        <v>0</v>
      </c>
      <c r="LM2">
        <v>22</v>
      </c>
      <c r="LN2">
        <v>1</v>
      </c>
      <c r="LO2">
        <v>16</v>
      </c>
      <c r="LP2">
        <v>74</v>
      </c>
      <c r="LQ2">
        <v>2</v>
      </c>
      <c r="LR2">
        <v>48</v>
      </c>
      <c r="LS2">
        <v>31</v>
      </c>
      <c r="LT2">
        <v>0</v>
      </c>
      <c r="LU2">
        <v>0</v>
      </c>
      <c r="LV2">
        <v>44</v>
      </c>
      <c r="LW2">
        <v>211</v>
      </c>
      <c r="LX2">
        <v>18</v>
      </c>
      <c r="LY2">
        <v>0</v>
      </c>
      <c r="LZ2">
        <v>42</v>
      </c>
      <c r="MA2">
        <v>0</v>
      </c>
      <c r="MB2">
        <v>22</v>
      </c>
      <c r="MC2">
        <v>0</v>
      </c>
      <c r="MD2">
        <v>8</v>
      </c>
      <c r="ME2">
        <v>1</v>
      </c>
      <c r="MF2">
        <v>0</v>
      </c>
      <c r="MG2">
        <v>20</v>
      </c>
      <c r="MH2">
        <v>0</v>
      </c>
      <c r="MI2">
        <v>1</v>
      </c>
      <c r="MJ2">
        <v>1</v>
      </c>
      <c r="MK2">
        <v>0</v>
      </c>
      <c r="ML2">
        <v>11</v>
      </c>
      <c r="MM2">
        <v>10</v>
      </c>
      <c r="MN2">
        <v>16</v>
      </c>
      <c r="MO2">
        <v>4</v>
      </c>
      <c r="MP2">
        <v>16</v>
      </c>
      <c r="MQ2">
        <v>0</v>
      </c>
      <c r="MR2">
        <v>0</v>
      </c>
      <c r="MS2">
        <v>0</v>
      </c>
      <c r="MT2">
        <v>14</v>
      </c>
      <c r="MU2">
        <v>0</v>
      </c>
      <c r="MV2">
        <v>189</v>
      </c>
      <c r="MW2">
        <v>0</v>
      </c>
      <c r="MX2">
        <v>0</v>
      </c>
      <c r="MY2">
        <v>0</v>
      </c>
      <c r="MZ2">
        <v>5</v>
      </c>
      <c r="NA2">
        <v>2</v>
      </c>
      <c r="NB2">
        <v>10</v>
      </c>
      <c r="NC2">
        <v>37</v>
      </c>
      <c r="ND2">
        <v>2</v>
      </c>
      <c r="NE2">
        <v>200</v>
      </c>
      <c r="NF2">
        <v>137</v>
      </c>
      <c r="NG2">
        <v>0</v>
      </c>
      <c r="NH2">
        <v>0</v>
      </c>
      <c r="NI2">
        <v>6</v>
      </c>
      <c r="NJ2">
        <v>2</v>
      </c>
      <c r="NK2">
        <v>6</v>
      </c>
      <c r="NL2">
        <v>29</v>
      </c>
      <c r="NM2">
        <v>0</v>
      </c>
      <c r="NN2">
        <v>10</v>
      </c>
      <c r="NO2">
        <v>0</v>
      </c>
      <c r="NP2">
        <v>20</v>
      </c>
      <c r="NQ2">
        <v>0</v>
      </c>
      <c r="NR2">
        <v>138</v>
      </c>
      <c r="NS2">
        <v>2</v>
      </c>
      <c r="NT2">
        <v>3</v>
      </c>
      <c r="NU2">
        <v>1</v>
      </c>
      <c r="NV2">
        <v>8</v>
      </c>
      <c r="NW2">
        <v>0</v>
      </c>
      <c r="NX2">
        <v>0</v>
      </c>
      <c r="NY2">
        <v>209</v>
      </c>
      <c r="NZ2">
        <v>0</v>
      </c>
      <c r="OA2">
        <v>0</v>
      </c>
      <c r="OB2">
        <v>87</v>
      </c>
      <c r="OC2">
        <v>0</v>
      </c>
      <c r="OD2">
        <v>24</v>
      </c>
      <c r="OE2">
        <v>7</v>
      </c>
      <c r="OF2">
        <v>0</v>
      </c>
      <c r="OG2">
        <v>41</v>
      </c>
      <c r="OH2">
        <v>0</v>
      </c>
      <c r="OI2">
        <v>1</v>
      </c>
      <c r="OJ2">
        <v>4</v>
      </c>
      <c r="OK2">
        <v>56</v>
      </c>
      <c r="OL2">
        <v>6</v>
      </c>
      <c r="OM2">
        <v>49</v>
      </c>
      <c r="ON2">
        <v>1</v>
      </c>
      <c r="OO2">
        <v>49</v>
      </c>
      <c r="OP2">
        <v>0</v>
      </c>
      <c r="OQ2">
        <v>0</v>
      </c>
      <c r="OR2">
        <v>3</v>
      </c>
      <c r="OS2">
        <v>141</v>
      </c>
      <c r="OT2">
        <v>95</v>
      </c>
      <c r="OU2">
        <v>5</v>
      </c>
      <c r="OV2">
        <v>0</v>
      </c>
      <c r="OW2">
        <v>4</v>
      </c>
      <c r="OX2">
        <v>27</v>
      </c>
      <c r="OY2">
        <v>7</v>
      </c>
      <c r="OZ2">
        <v>35</v>
      </c>
      <c r="PA2">
        <v>4</v>
      </c>
      <c r="PB2">
        <v>3</v>
      </c>
      <c r="PC2">
        <v>2</v>
      </c>
      <c r="PD2">
        <v>0</v>
      </c>
      <c r="PE2">
        <v>6</v>
      </c>
      <c r="PF2">
        <v>8</v>
      </c>
      <c r="PG2">
        <v>12</v>
      </c>
      <c r="PH2">
        <v>6</v>
      </c>
      <c r="PI2">
        <v>13</v>
      </c>
      <c r="PJ2">
        <v>4</v>
      </c>
      <c r="PK2">
        <v>142</v>
      </c>
      <c r="PL2">
        <v>25</v>
      </c>
      <c r="PM2">
        <v>88</v>
      </c>
      <c r="PN2">
        <v>1</v>
      </c>
      <c r="PO2">
        <v>3</v>
      </c>
      <c r="PP2">
        <v>5</v>
      </c>
      <c r="PQ2">
        <v>7</v>
      </c>
      <c r="PR2">
        <v>0</v>
      </c>
      <c r="PS2">
        <v>5</v>
      </c>
      <c r="PT2">
        <v>342</v>
      </c>
      <c r="PU2">
        <v>4</v>
      </c>
      <c r="PV2">
        <v>21</v>
      </c>
      <c r="PW2">
        <v>14</v>
      </c>
      <c r="PX2">
        <v>0</v>
      </c>
      <c r="PY2">
        <v>0</v>
      </c>
      <c r="PZ2">
        <v>4</v>
      </c>
      <c r="QA2">
        <v>41</v>
      </c>
      <c r="QB2">
        <v>39</v>
      </c>
      <c r="QC2">
        <v>25</v>
      </c>
      <c r="QD2">
        <v>0</v>
      </c>
      <c r="QE2">
        <v>1</v>
      </c>
      <c r="QF2">
        <v>0</v>
      </c>
      <c r="QG2">
        <v>73</v>
      </c>
      <c r="QH2">
        <v>7</v>
      </c>
      <c r="QI2">
        <v>3</v>
      </c>
      <c r="QJ2">
        <v>0</v>
      </c>
      <c r="QK2">
        <v>88</v>
      </c>
      <c r="QL2">
        <v>0</v>
      </c>
      <c r="QM2">
        <v>0</v>
      </c>
      <c r="QN2">
        <v>0</v>
      </c>
      <c r="QO2">
        <v>28</v>
      </c>
      <c r="QP2">
        <v>16</v>
      </c>
      <c r="QQ2">
        <v>49</v>
      </c>
      <c r="QR2">
        <v>0</v>
      </c>
      <c r="QS2">
        <v>1</v>
      </c>
      <c r="QT2">
        <v>58</v>
      </c>
      <c r="QU2">
        <v>3</v>
      </c>
      <c r="QV2">
        <v>0</v>
      </c>
      <c r="QW2">
        <v>4</v>
      </c>
      <c r="QX2">
        <v>31</v>
      </c>
      <c r="QY2">
        <v>8</v>
      </c>
    </row>
    <row r="3" spans="2:467" hidden="1" x14ac:dyDescent="0.4">
      <c r="B3" t="str">
        <f>"9784140886908"</f>
        <v>9784140886908</v>
      </c>
      <c r="C3" t="s">
        <v>478</v>
      </c>
      <c r="D3" t="s">
        <v>479</v>
      </c>
      <c r="E3">
        <v>690</v>
      </c>
      <c r="G3" t="s">
        <v>480</v>
      </c>
      <c r="H3" t="str">
        <f>"0210"</f>
        <v>0210</v>
      </c>
      <c r="I3" t="s">
        <v>481</v>
      </c>
      <c r="J3" t="s">
        <v>482</v>
      </c>
      <c r="K3" t="s">
        <v>483</v>
      </c>
      <c r="L3" s="1">
        <v>44933</v>
      </c>
      <c r="M3">
        <v>930</v>
      </c>
      <c r="N3" t="str">
        <f>"331.6"</f>
        <v>331.6</v>
      </c>
      <c r="P3">
        <v>293</v>
      </c>
      <c r="Q3">
        <v>83</v>
      </c>
      <c r="R3">
        <v>0</v>
      </c>
      <c r="S3">
        <v>3</v>
      </c>
      <c r="T3">
        <v>1</v>
      </c>
      <c r="U3">
        <v>3</v>
      </c>
      <c r="V3">
        <v>0</v>
      </c>
      <c r="W3">
        <v>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1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3</v>
      </c>
      <c r="AW3">
        <v>0</v>
      </c>
      <c r="AX3">
        <v>0</v>
      </c>
      <c r="AY3">
        <v>0</v>
      </c>
      <c r="AZ3">
        <v>0</v>
      </c>
      <c r="BA3">
        <v>0</v>
      </c>
      <c r="BB3">
        <v>4</v>
      </c>
      <c r="BC3">
        <v>0</v>
      </c>
      <c r="BD3">
        <v>0</v>
      </c>
      <c r="BE3">
        <v>2</v>
      </c>
      <c r="BF3">
        <v>0</v>
      </c>
      <c r="BG3">
        <v>0</v>
      </c>
      <c r="BH3">
        <v>1</v>
      </c>
      <c r="BI3">
        <v>0</v>
      </c>
      <c r="BJ3">
        <v>0</v>
      </c>
      <c r="BK3">
        <v>0</v>
      </c>
      <c r="BL3">
        <v>1</v>
      </c>
      <c r="BM3">
        <v>0</v>
      </c>
      <c r="BN3">
        <v>0</v>
      </c>
      <c r="BO3">
        <v>0</v>
      </c>
      <c r="BP3">
        <v>2</v>
      </c>
      <c r="BQ3">
        <v>0</v>
      </c>
      <c r="BR3">
        <v>0</v>
      </c>
      <c r="BS3">
        <v>1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22</v>
      </c>
      <c r="CI3">
        <v>15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4</v>
      </c>
      <c r="CR3">
        <v>0</v>
      </c>
      <c r="CS3">
        <v>0</v>
      </c>
      <c r="CT3">
        <v>31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2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4</v>
      </c>
      <c r="DZ3">
        <v>0</v>
      </c>
      <c r="EA3">
        <v>0</v>
      </c>
      <c r="EB3">
        <v>0</v>
      </c>
      <c r="EC3">
        <v>1</v>
      </c>
      <c r="ED3">
        <v>0</v>
      </c>
      <c r="EE3">
        <v>0</v>
      </c>
      <c r="EF3">
        <v>0</v>
      </c>
      <c r="EG3">
        <v>0</v>
      </c>
      <c r="EH3">
        <v>1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1</v>
      </c>
      <c r="EU3">
        <v>0</v>
      </c>
      <c r="EV3">
        <v>2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1</v>
      </c>
      <c r="FK3">
        <v>0</v>
      </c>
      <c r="FL3">
        <v>0</v>
      </c>
      <c r="FM3">
        <v>0</v>
      </c>
      <c r="FN3">
        <v>0</v>
      </c>
      <c r="FO3">
        <v>4</v>
      </c>
      <c r="FP3">
        <v>0</v>
      </c>
      <c r="FQ3">
        <v>0</v>
      </c>
      <c r="FR3">
        <v>0</v>
      </c>
      <c r="FS3">
        <v>0</v>
      </c>
      <c r="FT3">
        <v>1</v>
      </c>
      <c r="FU3">
        <v>0</v>
      </c>
      <c r="FV3">
        <v>1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4</v>
      </c>
      <c r="GJ3">
        <v>0</v>
      </c>
      <c r="GK3">
        <v>0</v>
      </c>
      <c r="GL3">
        <v>7</v>
      </c>
      <c r="GM3">
        <v>0</v>
      </c>
      <c r="GN3">
        <v>1</v>
      </c>
      <c r="GO3">
        <v>3</v>
      </c>
      <c r="GP3">
        <v>0</v>
      </c>
      <c r="GQ3">
        <v>0</v>
      </c>
      <c r="GR3">
        <v>1</v>
      </c>
      <c r="GS3">
        <v>0</v>
      </c>
      <c r="GT3">
        <v>0</v>
      </c>
      <c r="GU3">
        <v>0</v>
      </c>
      <c r="GV3">
        <v>0</v>
      </c>
      <c r="GW3">
        <v>1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2</v>
      </c>
      <c r="HG3">
        <v>0</v>
      </c>
      <c r="HH3">
        <v>0</v>
      </c>
      <c r="HI3">
        <v>0</v>
      </c>
      <c r="HJ3">
        <v>0</v>
      </c>
      <c r="HK3">
        <v>1</v>
      </c>
      <c r="HL3">
        <v>0</v>
      </c>
      <c r="HM3">
        <v>1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5</v>
      </c>
      <c r="HV3">
        <v>4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1</v>
      </c>
      <c r="IG3">
        <v>0</v>
      </c>
      <c r="IH3">
        <v>0</v>
      </c>
      <c r="II3">
        <v>0</v>
      </c>
      <c r="IJ3">
        <v>1</v>
      </c>
      <c r="IK3">
        <v>0</v>
      </c>
      <c r="IL3">
        <v>0</v>
      </c>
      <c r="IM3">
        <v>1</v>
      </c>
      <c r="IN3">
        <v>0</v>
      </c>
      <c r="IO3">
        <v>1</v>
      </c>
      <c r="IP3">
        <v>0</v>
      </c>
      <c r="IQ3">
        <v>4</v>
      </c>
      <c r="IR3">
        <v>0</v>
      </c>
      <c r="IS3">
        <v>0</v>
      </c>
      <c r="IT3">
        <v>3</v>
      </c>
      <c r="IU3">
        <v>1</v>
      </c>
      <c r="IV3">
        <v>0</v>
      </c>
      <c r="IW3">
        <v>0</v>
      </c>
      <c r="IX3">
        <v>0</v>
      </c>
      <c r="IY3">
        <v>2</v>
      </c>
      <c r="IZ3">
        <v>0</v>
      </c>
      <c r="JA3">
        <v>2</v>
      </c>
      <c r="JB3">
        <v>0</v>
      </c>
      <c r="JC3">
        <v>0</v>
      </c>
      <c r="JD3">
        <v>0</v>
      </c>
      <c r="JE3">
        <v>0</v>
      </c>
      <c r="JF3">
        <v>16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50</v>
      </c>
      <c r="JN3">
        <v>1</v>
      </c>
      <c r="JO3">
        <v>0</v>
      </c>
      <c r="JP3">
        <v>0</v>
      </c>
      <c r="JQ3">
        <v>5</v>
      </c>
      <c r="JR3">
        <v>0</v>
      </c>
      <c r="JS3">
        <v>0</v>
      </c>
      <c r="JT3">
        <v>0</v>
      </c>
      <c r="JU3">
        <v>1</v>
      </c>
      <c r="JV3">
        <v>0</v>
      </c>
      <c r="JW3">
        <v>1</v>
      </c>
      <c r="JX3">
        <v>0</v>
      </c>
      <c r="JY3">
        <v>1</v>
      </c>
      <c r="JZ3">
        <v>0</v>
      </c>
      <c r="KA3">
        <v>0</v>
      </c>
      <c r="KB3">
        <v>6</v>
      </c>
      <c r="KC3">
        <v>1</v>
      </c>
      <c r="KD3">
        <v>0</v>
      </c>
      <c r="KE3">
        <v>0</v>
      </c>
      <c r="KF3">
        <v>0</v>
      </c>
      <c r="KG3">
        <v>1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1</v>
      </c>
      <c r="LP3">
        <v>3</v>
      </c>
      <c r="LQ3">
        <v>0</v>
      </c>
      <c r="LR3">
        <v>0</v>
      </c>
      <c r="LS3">
        <v>3</v>
      </c>
      <c r="LT3">
        <v>0</v>
      </c>
      <c r="LU3">
        <v>0</v>
      </c>
      <c r="LV3">
        <v>2</v>
      </c>
      <c r="LW3">
        <v>2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2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9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1</v>
      </c>
      <c r="NM3">
        <v>0</v>
      </c>
      <c r="NN3">
        <v>0</v>
      </c>
      <c r="NO3">
        <v>0</v>
      </c>
      <c r="NP3">
        <v>0</v>
      </c>
      <c r="NQ3">
        <v>0</v>
      </c>
      <c r="NR3">
        <v>1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2</v>
      </c>
      <c r="NZ3">
        <v>0</v>
      </c>
      <c r="OA3">
        <v>0</v>
      </c>
      <c r="OB3">
        <v>2</v>
      </c>
      <c r="OC3">
        <v>0</v>
      </c>
      <c r="OD3">
        <v>0</v>
      </c>
      <c r="OE3">
        <v>0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1</v>
      </c>
      <c r="ON3">
        <v>0</v>
      </c>
      <c r="OO3">
        <v>0</v>
      </c>
      <c r="OP3">
        <v>0</v>
      </c>
      <c r="OQ3">
        <v>0</v>
      </c>
      <c r="OR3">
        <v>0</v>
      </c>
      <c r="OS3">
        <v>2</v>
      </c>
      <c r="OT3">
        <v>1</v>
      </c>
      <c r="OU3">
        <v>0</v>
      </c>
      <c r="OV3">
        <v>0</v>
      </c>
      <c r="OW3">
        <v>0</v>
      </c>
      <c r="OX3">
        <v>1</v>
      </c>
      <c r="OY3">
        <v>0</v>
      </c>
      <c r="OZ3">
        <v>0</v>
      </c>
      <c r="PA3">
        <v>0</v>
      </c>
      <c r="PB3">
        <v>0</v>
      </c>
      <c r="PC3">
        <v>0</v>
      </c>
      <c r="PD3">
        <v>0</v>
      </c>
      <c r="PE3">
        <v>0</v>
      </c>
      <c r="PF3">
        <v>0</v>
      </c>
      <c r="PG3">
        <v>0</v>
      </c>
      <c r="PH3">
        <v>1</v>
      </c>
      <c r="PI3">
        <v>0</v>
      </c>
      <c r="PJ3">
        <v>0</v>
      </c>
      <c r="PK3">
        <v>3</v>
      </c>
      <c r="PL3">
        <v>0</v>
      </c>
      <c r="PM3">
        <v>1</v>
      </c>
      <c r="PN3">
        <v>0</v>
      </c>
      <c r="PO3">
        <v>0</v>
      </c>
      <c r="PP3">
        <v>0</v>
      </c>
      <c r="PQ3">
        <v>0</v>
      </c>
      <c r="PR3">
        <v>0</v>
      </c>
      <c r="PS3">
        <v>0</v>
      </c>
      <c r="PT3">
        <v>1</v>
      </c>
      <c r="PU3">
        <v>0</v>
      </c>
      <c r="PV3">
        <v>0</v>
      </c>
      <c r="PW3">
        <v>0</v>
      </c>
      <c r="PX3">
        <v>0</v>
      </c>
      <c r="PY3">
        <v>0</v>
      </c>
      <c r="PZ3">
        <v>1</v>
      </c>
      <c r="QA3">
        <v>1</v>
      </c>
      <c r="QB3">
        <v>1</v>
      </c>
      <c r="QC3">
        <v>0</v>
      </c>
      <c r="QD3">
        <v>0</v>
      </c>
      <c r="QE3">
        <v>0</v>
      </c>
      <c r="QF3">
        <v>0</v>
      </c>
      <c r="QG3">
        <v>0</v>
      </c>
      <c r="QH3">
        <v>1</v>
      </c>
      <c r="QI3">
        <v>0</v>
      </c>
      <c r="QJ3">
        <v>0</v>
      </c>
      <c r="QK3">
        <v>2</v>
      </c>
      <c r="QL3">
        <v>0</v>
      </c>
      <c r="QM3">
        <v>0</v>
      </c>
      <c r="QN3">
        <v>0</v>
      </c>
      <c r="QO3">
        <v>0</v>
      </c>
      <c r="QP3">
        <v>0</v>
      </c>
      <c r="QQ3">
        <v>1</v>
      </c>
      <c r="QR3">
        <v>0</v>
      </c>
      <c r="QS3">
        <v>0</v>
      </c>
      <c r="QT3">
        <v>0</v>
      </c>
      <c r="QU3">
        <v>1</v>
      </c>
      <c r="QV3">
        <v>0</v>
      </c>
      <c r="QW3">
        <v>0</v>
      </c>
      <c r="QX3">
        <v>0</v>
      </c>
      <c r="QY3">
        <v>0</v>
      </c>
    </row>
    <row r="4" spans="2:467" x14ac:dyDescent="0.4">
      <c r="B4" t="str">
        <f>"9784022650597"</f>
        <v>9784022650597</v>
      </c>
      <c r="C4" t="s">
        <v>495</v>
      </c>
      <c r="D4" t="s">
        <v>496</v>
      </c>
      <c r="E4" t="s">
        <v>497</v>
      </c>
      <c r="G4" t="s">
        <v>498</v>
      </c>
      <c r="H4" t="str">
        <f>"0193"</f>
        <v>0193</v>
      </c>
      <c r="I4" t="s">
        <v>481</v>
      </c>
      <c r="J4" t="s">
        <v>487</v>
      </c>
      <c r="K4" t="s">
        <v>488</v>
      </c>
      <c r="L4" s="1">
        <v>44810</v>
      </c>
      <c r="M4">
        <v>810</v>
      </c>
      <c r="N4" t="str">
        <f>"913.6"</f>
        <v>913.6</v>
      </c>
      <c r="P4">
        <v>139</v>
      </c>
      <c r="Q4">
        <v>70</v>
      </c>
      <c r="R4">
        <v>0</v>
      </c>
      <c r="S4">
        <v>0</v>
      </c>
      <c r="T4">
        <v>3</v>
      </c>
      <c r="U4">
        <v>0</v>
      </c>
      <c r="V4">
        <v>1</v>
      </c>
      <c r="W4">
        <v>2</v>
      </c>
      <c r="X4">
        <v>0</v>
      </c>
      <c r="Y4">
        <v>1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</v>
      </c>
      <c r="AH4">
        <v>0</v>
      </c>
      <c r="AI4">
        <v>0</v>
      </c>
      <c r="AJ4">
        <v>1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2</v>
      </c>
      <c r="AW4">
        <v>0</v>
      </c>
      <c r="AX4">
        <v>0</v>
      </c>
      <c r="AY4">
        <v>0</v>
      </c>
      <c r="AZ4">
        <v>0</v>
      </c>
      <c r="BA4">
        <v>0</v>
      </c>
      <c r="BB4">
        <v>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1</v>
      </c>
      <c r="BM4">
        <v>1</v>
      </c>
      <c r="BN4">
        <v>0</v>
      </c>
      <c r="BO4">
        <v>0</v>
      </c>
      <c r="BP4">
        <v>0</v>
      </c>
      <c r="BQ4">
        <v>0</v>
      </c>
      <c r="BR4">
        <v>3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6</v>
      </c>
      <c r="CI4">
        <v>6</v>
      </c>
      <c r="CJ4">
        <v>1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2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1</v>
      </c>
      <c r="CY4">
        <v>0</v>
      </c>
      <c r="CZ4">
        <v>0</v>
      </c>
      <c r="DA4">
        <v>0</v>
      </c>
      <c r="DB4">
        <v>0</v>
      </c>
      <c r="DC4">
        <v>2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1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1</v>
      </c>
      <c r="DU4">
        <v>0</v>
      </c>
      <c r="DV4">
        <v>0</v>
      </c>
      <c r="DW4">
        <v>2</v>
      </c>
      <c r="DX4">
        <v>0</v>
      </c>
      <c r="DY4">
        <v>3</v>
      </c>
      <c r="DZ4">
        <v>0</v>
      </c>
      <c r="EA4">
        <v>0</v>
      </c>
      <c r="EB4">
        <v>1</v>
      </c>
      <c r="EC4">
        <v>2</v>
      </c>
      <c r="ED4">
        <v>0</v>
      </c>
      <c r="EE4">
        <v>0</v>
      </c>
      <c r="EF4">
        <v>0</v>
      </c>
      <c r="EG4">
        <v>1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2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2</v>
      </c>
      <c r="FB4">
        <v>0</v>
      </c>
      <c r="FC4">
        <v>0</v>
      </c>
      <c r="FD4">
        <v>1</v>
      </c>
      <c r="FE4">
        <v>1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1</v>
      </c>
      <c r="FP4">
        <v>0</v>
      </c>
      <c r="FQ4">
        <v>0</v>
      </c>
      <c r="FR4">
        <v>0</v>
      </c>
      <c r="FS4">
        <v>0</v>
      </c>
      <c r="FT4">
        <v>2</v>
      </c>
      <c r="FU4">
        <v>0</v>
      </c>
      <c r="FV4">
        <v>0</v>
      </c>
      <c r="FW4">
        <v>0</v>
      </c>
      <c r="FX4">
        <v>2</v>
      </c>
      <c r="FY4">
        <v>0</v>
      </c>
      <c r="FZ4">
        <v>0</v>
      </c>
      <c r="GA4">
        <v>0</v>
      </c>
      <c r="GB4">
        <v>0</v>
      </c>
      <c r="GC4">
        <v>1</v>
      </c>
      <c r="GD4">
        <v>0</v>
      </c>
      <c r="GE4">
        <v>0</v>
      </c>
      <c r="GF4">
        <v>0</v>
      </c>
      <c r="GG4">
        <v>0</v>
      </c>
      <c r="GH4">
        <v>0</v>
      </c>
      <c r="GI4">
        <v>4</v>
      </c>
      <c r="GJ4">
        <v>0</v>
      </c>
      <c r="GK4">
        <v>0</v>
      </c>
      <c r="GL4">
        <v>0</v>
      </c>
      <c r="GM4">
        <v>0</v>
      </c>
      <c r="GN4">
        <v>4</v>
      </c>
      <c r="GO4">
        <v>0</v>
      </c>
      <c r="GP4">
        <v>0</v>
      </c>
      <c r="GQ4">
        <v>1</v>
      </c>
      <c r="GR4">
        <v>1</v>
      </c>
      <c r="GS4">
        <v>0</v>
      </c>
      <c r="GT4">
        <v>0</v>
      </c>
      <c r="GU4">
        <v>1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6</v>
      </c>
      <c r="HW4">
        <v>2</v>
      </c>
      <c r="HX4">
        <v>0</v>
      </c>
      <c r="HY4">
        <v>1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1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1</v>
      </c>
      <c r="IZ4">
        <v>1</v>
      </c>
      <c r="JA4">
        <v>0</v>
      </c>
      <c r="JB4">
        <v>0</v>
      </c>
      <c r="JC4">
        <v>0</v>
      </c>
      <c r="JD4">
        <v>0</v>
      </c>
      <c r="JE4">
        <v>0</v>
      </c>
      <c r="JF4">
        <v>8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3</v>
      </c>
      <c r="JN4">
        <v>0</v>
      </c>
      <c r="JO4">
        <v>1</v>
      </c>
      <c r="JP4">
        <v>2</v>
      </c>
      <c r="JQ4">
        <v>6</v>
      </c>
      <c r="JR4">
        <v>1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1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3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1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3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1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1</v>
      </c>
      <c r="NF4">
        <v>0</v>
      </c>
      <c r="NG4">
        <v>0</v>
      </c>
      <c r="NH4">
        <v>0</v>
      </c>
      <c r="NI4">
        <v>0</v>
      </c>
      <c r="NJ4">
        <v>0</v>
      </c>
      <c r="NK4">
        <v>0</v>
      </c>
      <c r="NL4">
        <v>0</v>
      </c>
      <c r="NM4">
        <v>0</v>
      </c>
      <c r="NN4">
        <v>0</v>
      </c>
      <c r="NO4">
        <v>0</v>
      </c>
      <c r="NP4">
        <v>0</v>
      </c>
      <c r="NQ4">
        <v>0</v>
      </c>
      <c r="NR4">
        <v>2</v>
      </c>
      <c r="NS4">
        <v>0</v>
      </c>
      <c r="NT4">
        <v>0</v>
      </c>
      <c r="NU4">
        <v>0</v>
      </c>
      <c r="NV4">
        <v>1</v>
      </c>
      <c r="NW4">
        <v>0</v>
      </c>
      <c r="NX4">
        <v>0</v>
      </c>
      <c r="NY4">
        <v>3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1</v>
      </c>
      <c r="OH4">
        <v>0</v>
      </c>
      <c r="OI4">
        <v>0</v>
      </c>
      <c r="OJ4">
        <v>0</v>
      </c>
      <c r="OK4">
        <v>1</v>
      </c>
      <c r="OL4">
        <v>0</v>
      </c>
      <c r="OM4">
        <v>2</v>
      </c>
      <c r="ON4">
        <v>0</v>
      </c>
      <c r="OO4">
        <v>0</v>
      </c>
      <c r="OP4">
        <v>0</v>
      </c>
      <c r="OQ4">
        <v>0</v>
      </c>
      <c r="OR4">
        <v>0</v>
      </c>
      <c r="OS4">
        <v>1</v>
      </c>
      <c r="OT4">
        <v>2</v>
      </c>
      <c r="OU4">
        <v>0</v>
      </c>
      <c r="OV4">
        <v>0</v>
      </c>
      <c r="OW4">
        <v>0</v>
      </c>
      <c r="OX4">
        <v>2</v>
      </c>
      <c r="OY4">
        <v>0</v>
      </c>
      <c r="OZ4">
        <v>0</v>
      </c>
      <c r="PA4">
        <v>0</v>
      </c>
      <c r="PB4">
        <v>0</v>
      </c>
      <c r="PC4">
        <v>0</v>
      </c>
      <c r="PD4">
        <v>0</v>
      </c>
      <c r="PE4">
        <v>0</v>
      </c>
      <c r="PF4">
        <v>0</v>
      </c>
      <c r="PG4">
        <v>0</v>
      </c>
      <c r="PH4">
        <v>0</v>
      </c>
      <c r="PI4">
        <v>0</v>
      </c>
      <c r="PJ4">
        <v>0</v>
      </c>
      <c r="PK4">
        <v>2</v>
      </c>
      <c r="PL4">
        <v>2</v>
      </c>
      <c r="PM4">
        <v>0</v>
      </c>
      <c r="PN4">
        <v>0</v>
      </c>
      <c r="PO4">
        <v>0</v>
      </c>
      <c r="PP4">
        <v>0</v>
      </c>
      <c r="PQ4">
        <v>0</v>
      </c>
      <c r="PR4">
        <v>0</v>
      </c>
      <c r="PS4">
        <v>0</v>
      </c>
      <c r="PT4">
        <v>0</v>
      </c>
      <c r="PU4">
        <v>0</v>
      </c>
      <c r="PV4">
        <v>0</v>
      </c>
      <c r="PW4">
        <v>0</v>
      </c>
      <c r="PX4">
        <v>0</v>
      </c>
      <c r="PY4">
        <v>0</v>
      </c>
      <c r="PZ4">
        <v>0</v>
      </c>
      <c r="QA4">
        <v>0</v>
      </c>
      <c r="QB4">
        <v>2</v>
      </c>
      <c r="QC4">
        <v>0</v>
      </c>
      <c r="QD4">
        <v>0</v>
      </c>
      <c r="QE4">
        <v>0</v>
      </c>
      <c r="QF4">
        <v>0</v>
      </c>
      <c r="QG4">
        <v>0</v>
      </c>
      <c r="QH4">
        <v>0</v>
      </c>
      <c r="QI4">
        <v>0</v>
      </c>
      <c r="QJ4">
        <v>0</v>
      </c>
      <c r="QK4">
        <v>0</v>
      </c>
      <c r="QL4">
        <v>0</v>
      </c>
      <c r="QM4">
        <v>0</v>
      </c>
      <c r="QN4">
        <v>0</v>
      </c>
      <c r="QO4">
        <v>2</v>
      </c>
      <c r="QP4">
        <v>0</v>
      </c>
      <c r="QQ4">
        <v>2</v>
      </c>
      <c r="QR4">
        <v>0</v>
      </c>
      <c r="QS4">
        <v>0</v>
      </c>
      <c r="QT4">
        <v>0</v>
      </c>
      <c r="QU4">
        <v>0</v>
      </c>
      <c r="QV4">
        <v>0</v>
      </c>
      <c r="QW4">
        <v>0</v>
      </c>
      <c r="QX4">
        <v>2</v>
      </c>
      <c r="QY4">
        <v>0</v>
      </c>
    </row>
    <row r="5" spans="2:467" hidden="1" x14ac:dyDescent="0.4">
      <c r="B5" t="str">
        <f>"9784004319566"</f>
        <v>9784004319566</v>
      </c>
      <c r="C5" t="s">
        <v>528</v>
      </c>
      <c r="D5" t="s">
        <v>529</v>
      </c>
      <c r="E5" t="s">
        <v>530</v>
      </c>
      <c r="G5" t="s">
        <v>521</v>
      </c>
      <c r="H5" t="str">
        <f>"0236"</f>
        <v>0236</v>
      </c>
      <c r="I5" t="s">
        <v>481</v>
      </c>
      <c r="J5" t="s">
        <v>482</v>
      </c>
      <c r="K5" t="s">
        <v>505</v>
      </c>
      <c r="L5" s="1">
        <v>44949</v>
      </c>
      <c r="M5">
        <v>840</v>
      </c>
      <c r="N5" t="str">
        <f>"007.3"</f>
        <v>007.3</v>
      </c>
      <c r="P5">
        <v>101</v>
      </c>
      <c r="Q5">
        <v>69</v>
      </c>
      <c r="R5">
        <v>0</v>
      </c>
      <c r="S5">
        <v>1</v>
      </c>
      <c r="T5">
        <v>0</v>
      </c>
      <c r="U5">
        <v>2</v>
      </c>
      <c r="V5">
        <v>0</v>
      </c>
      <c r="W5">
        <v>0</v>
      </c>
      <c r="X5">
        <v>0</v>
      </c>
      <c r="Y5">
        <v>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1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1</v>
      </c>
      <c r="BM5">
        <v>0</v>
      </c>
      <c r="BN5">
        <v>0</v>
      </c>
      <c r="BO5">
        <v>0</v>
      </c>
      <c r="BP5">
        <v>1</v>
      </c>
      <c r="BQ5">
        <v>0</v>
      </c>
      <c r="BR5">
        <v>1</v>
      </c>
      <c r="BS5">
        <v>2</v>
      </c>
      <c r="BT5">
        <v>1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2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4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8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1</v>
      </c>
      <c r="CZ5">
        <v>0</v>
      </c>
      <c r="DA5">
        <v>0</v>
      </c>
      <c r="DB5">
        <v>1</v>
      </c>
      <c r="DC5">
        <v>1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1</v>
      </c>
      <c r="DU5">
        <v>0</v>
      </c>
      <c r="DV5">
        <v>0</v>
      </c>
      <c r="DW5">
        <v>0</v>
      </c>
      <c r="DX5">
        <v>0</v>
      </c>
      <c r="DY5">
        <v>1</v>
      </c>
      <c r="DZ5">
        <v>0</v>
      </c>
      <c r="EA5">
        <v>0</v>
      </c>
      <c r="EB5">
        <v>0</v>
      </c>
      <c r="EC5">
        <v>1</v>
      </c>
      <c r="ED5">
        <v>0</v>
      </c>
      <c r="EE5">
        <v>0</v>
      </c>
      <c r="EF5">
        <v>1</v>
      </c>
      <c r="EG5">
        <v>0</v>
      </c>
      <c r="EH5">
        <v>1</v>
      </c>
      <c r="EI5">
        <v>0</v>
      </c>
      <c r="EJ5">
        <v>0</v>
      </c>
      <c r="EK5">
        <v>0</v>
      </c>
      <c r="EL5">
        <v>0</v>
      </c>
      <c r="EM5">
        <v>1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1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1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1</v>
      </c>
      <c r="FP5">
        <v>0</v>
      </c>
      <c r="FQ5">
        <v>0</v>
      </c>
      <c r="FR5">
        <v>0</v>
      </c>
      <c r="FS5">
        <v>0</v>
      </c>
      <c r="FT5">
        <v>4</v>
      </c>
      <c r="FU5">
        <v>0</v>
      </c>
      <c r="FV5">
        <v>0</v>
      </c>
      <c r="FW5">
        <v>0</v>
      </c>
      <c r="FX5">
        <v>0</v>
      </c>
      <c r="FY5">
        <v>1</v>
      </c>
      <c r="FZ5">
        <v>0</v>
      </c>
      <c r="GA5">
        <v>0</v>
      </c>
      <c r="GB5">
        <v>1</v>
      </c>
      <c r="GC5">
        <v>1</v>
      </c>
      <c r="GD5">
        <v>1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2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1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1</v>
      </c>
      <c r="HW5">
        <v>0</v>
      </c>
      <c r="HX5">
        <v>0</v>
      </c>
      <c r="HY5">
        <v>1</v>
      </c>
      <c r="HZ5">
        <v>0</v>
      </c>
      <c r="IA5">
        <v>0</v>
      </c>
      <c r="IB5">
        <v>0</v>
      </c>
      <c r="IC5">
        <v>0</v>
      </c>
      <c r="ID5">
        <v>1</v>
      </c>
      <c r="IE5">
        <v>0</v>
      </c>
      <c r="IF5">
        <v>1</v>
      </c>
      <c r="IG5">
        <v>0</v>
      </c>
      <c r="IH5">
        <v>0</v>
      </c>
      <c r="II5">
        <v>0</v>
      </c>
      <c r="IJ5">
        <v>0</v>
      </c>
      <c r="IK5">
        <v>0</v>
      </c>
      <c r="IL5">
        <v>1</v>
      </c>
      <c r="IM5">
        <v>0</v>
      </c>
      <c r="IN5">
        <v>0</v>
      </c>
      <c r="IO5">
        <v>1</v>
      </c>
      <c r="IP5">
        <v>0</v>
      </c>
      <c r="IQ5">
        <v>0</v>
      </c>
      <c r="IR5">
        <v>0</v>
      </c>
      <c r="IS5">
        <v>0</v>
      </c>
      <c r="IT5">
        <v>1</v>
      </c>
      <c r="IU5">
        <v>1</v>
      </c>
      <c r="IV5">
        <v>1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3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3</v>
      </c>
      <c r="JN5">
        <v>0</v>
      </c>
      <c r="JO5">
        <v>1</v>
      </c>
      <c r="JP5">
        <v>0</v>
      </c>
      <c r="JQ5">
        <v>2</v>
      </c>
      <c r="JR5">
        <v>1</v>
      </c>
      <c r="JS5">
        <v>0</v>
      </c>
      <c r="JT5">
        <v>0</v>
      </c>
      <c r="JU5">
        <v>2</v>
      </c>
      <c r="JV5">
        <v>0</v>
      </c>
      <c r="JW5">
        <v>0</v>
      </c>
      <c r="JX5">
        <v>1</v>
      </c>
      <c r="JY5">
        <v>1</v>
      </c>
      <c r="JZ5">
        <v>0</v>
      </c>
      <c r="KA5">
        <v>0</v>
      </c>
      <c r="KB5">
        <v>1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1</v>
      </c>
      <c r="KM5">
        <v>0</v>
      </c>
      <c r="KN5">
        <v>0</v>
      </c>
      <c r="KO5">
        <v>0</v>
      </c>
      <c r="KP5">
        <v>0</v>
      </c>
      <c r="KQ5">
        <v>1</v>
      </c>
      <c r="KR5">
        <v>1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1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2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1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1</v>
      </c>
      <c r="ND5">
        <v>0</v>
      </c>
      <c r="NE5">
        <v>1</v>
      </c>
      <c r="NF5">
        <v>0</v>
      </c>
      <c r="NG5">
        <v>0</v>
      </c>
      <c r="NH5">
        <v>0</v>
      </c>
      <c r="NI5">
        <v>0</v>
      </c>
      <c r="NJ5">
        <v>0</v>
      </c>
      <c r="NK5">
        <v>0</v>
      </c>
      <c r="NL5">
        <v>1</v>
      </c>
      <c r="NM5">
        <v>0</v>
      </c>
      <c r="NN5">
        <v>0</v>
      </c>
      <c r="NO5">
        <v>0</v>
      </c>
      <c r="NP5">
        <v>1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2</v>
      </c>
      <c r="NZ5">
        <v>0</v>
      </c>
      <c r="OA5">
        <v>0</v>
      </c>
      <c r="OB5">
        <v>1</v>
      </c>
      <c r="OC5">
        <v>0</v>
      </c>
      <c r="OD5">
        <v>1</v>
      </c>
      <c r="OE5">
        <v>0</v>
      </c>
      <c r="OF5">
        <v>0</v>
      </c>
      <c r="OG5">
        <v>0</v>
      </c>
      <c r="OH5">
        <v>0</v>
      </c>
      <c r="OI5">
        <v>0</v>
      </c>
      <c r="OJ5">
        <v>0</v>
      </c>
      <c r="OK5">
        <v>3</v>
      </c>
      <c r="OL5">
        <v>0</v>
      </c>
      <c r="OM5">
        <v>0</v>
      </c>
      <c r="ON5">
        <v>0</v>
      </c>
      <c r="OO5">
        <v>0</v>
      </c>
      <c r="OP5">
        <v>0</v>
      </c>
      <c r="OQ5">
        <v>0</v>
      </c>
      <c r="OR5">
        <v>0</v>
      </c>
      <c r="OS5">
        <v>2</v>
      </c>
      <c r="OT5">
        <v>0</v>
      </c>
      <c r="OU5">
        <v>0</v>
      </c>
      <c r="OV5">
        <v>0</v>
      </c>
      <c r="OW5">
        <v>0</v>
      </c>
      <c r="OX5">
        <v>0</v>
      </c>
      <c r="OY5">
        <v>0</v>
      </c>
      <c r="OZ5">
        <v>0</v>
      </c>
      <c r="PA5">
        <v>0</v>
      </c>
      <c r="PB5">
        <v>0</v>
      </c>
      <c r="PC5">
        <v>0</v>
      </c>
      <c r="PD5">
        <v>0</v>
      </c>
      <c r="PE5">
        <v>0</v>
      </c>
      <c r="PF5">
        <v>0</v>
      </c>
      <c r="PG5">
        <v>0</v>
      </c>
      <c r="PH5">
        <v>0</v>
      </c>
      <c r="PI5">
        <v>0</v>
      </c>
      <c r="PJ5">
        <v>0</v>
      </c>
      <c r="PK5">
        <v>3</v>
      </c>
      <c r="PL5">
        <v>0</v>
      </c>
      <c r="PM5">
        <v>0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3</v>
      </c>
      <c r="PU5">
        <v>0</v>
      </c>
      <c r="PV5">
        <v>0</v>
      </c>
      <c r="PW5">
        <v>1</v>
      </c>
      <c r="PX5">
        <v>0</v>
      </c>
      <c r="PY5">
        <v>0</v>
      </c>
      <c r="PZ5">
        <v>0</v>
      </c>
      <c r="QA5">
        <v>0</v>
      </c>
      <c r="QB5">
        <v>0</v>
      </c>
      <c r="QC5">
        <v>0</v>
      </c>
      <c r="QD5">
        <v>0</v>
      </c>
      <c r="QE5">
        <v>0</v>
      </c>
      <c r="QF5">
        <v>0</v>
      </c>
      <c r="QG5">
        <v>0</v>
      </c>
      <c r="QH5">
        <v>0</v>
      </c>
      <c r="QI5">
        <v>0</v>
      </c>
      <c r="QJ5">
        <v>0</v>
      </c>
      <c r="QK5">
        <v>0</v>
      </c>
      <c r="QL5">
        <v>0</v>
      </c>
      <c r="QM5">
        <v>0</v>
      </c>
      <c r="QN5">
        <v>0</v>
      </c>
      <c r="QO5">
        <v>0</v>
      </c>
      <c r="QP5">
        <v>0</v>
      </c>
      <c r="QQ5">
        <v>0</v>
      </c>
      <c r="QR5">
        <v>0</v>
      </c>
      <c r="QS5">
        <v>0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</row>
    <row r="6" spans="2:467" hidden="1" x14ac:dyDescent="0.4">
      <c r="B6" t="str">
        <f>"9784480075284"</f>
        <v>9784480075284</v>
      </c>
      <c r="C6" t="s">
        <v>499</v>
      </c>
      <c r="D6" t="s">
        <v>500</v>
      </c>
      <c r="E6">
        <v>1697</v>
      </c>
      <c r="G6" t="s">
        <v>501</v>
      </c>
      <c r="H6" t="str">
        <f>"0231"</f>
        <v>0231</v>
      </c>
      <c r="I6" t="s">
        <v>481</v>
      </c>
      <c r="J6" t="s">
        <v>482</v>
      </c>
      <c r="K6" t="s">
        <v>502</v>
      </c>
      <c r="L6" s="1">
        <v>44903</v>
      </c>
      <c r="M6">
        <v>860</v>
      </c>
      <c r="N6" t="str">
        <f>"319.380"</f>
        <v>319.380</v>
      </c>
      <c r="P6">
        <v>134</v>
      </c>
      <c r="Q6">
        <v>68</v>
      </c>
      <c r="R6">
        <v>0</v>
      </c>
      <c r="S6">
        <v>3</v>
      </c>
      <c r="T6">
        <v>2</v>
      </c>
      <c r="U6">
        <v>1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</v>
      </c>
      <c r="AL6">
        <v>1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</v>
      </c>
      <c r="AW6">
        <v>1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2</v>
      </c>
      <c r="BF6">
        <v>0</v>
      </c>
      <c r="BG6">
        <v>0</v>
      </c>
      <c r="BH6">
        <v>1</v>
      </c>
      <c r="BI6">
        <v>0</v>
      </c>
      <c r="BJ6">
        <v>0</v>
      </c>
      <c r="BK6">
        <v>0</v>
      </c>
      <c r="BL6">
        <v>0</v>
      </c>
      <c r="BM6">
        <v>1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10</v>
      </c>
      <c r="CI6">
        <v>13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3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3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1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2</v>
      </c>
      <c r="DZ6">
        <v>0</v>
      </c>
      <c r="EA6">
        <v>0</v>
      </c>
      <c r="EB6">
        <v>0</v>
      </c>
      <c r="EC6">
        <v>0</v>
      </c>
      <c r="ED6">
        <v>1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1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1</v>
      </c>
      <c r="FB6">
        <v>0</v>
      </c>
      <c r="FC6">
        <v>0</v>
      </c>
      <c r="FD6">
        <v>3</v>
      </c>
      <c r="FE6">
        <v>0</v>
      </c>
      <c r="FF6">
        <v>0</v>
      </c>
      <c r="FG6">
        <v>0</v>
      </c>
      <c r="FH6">
        <v>1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1</v>
      </c>
      <c r="FR6">
        <v>0</v>
      </c>
      <c r="FS6">
        <v>0</v>
      </c>
      <c r="FT6">
        <v>1</v>
      </c>
      <c r="FU6">
        <v>0</v>
      </c>
      <c r="FV6">
        <v>1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1</v>
      </c>
      <c r="GE6">
        <v>0</v>
      </c>
      <c r="GF6">
        <v>0</v>
      </c>
      <c r="GG6">
        <v>0</v>
      </c>
      <c r="GH6">
        <v>0</v>
      </c>
      <c r="GI6">
        <v>2</v>
      </c>
      <c r="GJ6">
        <v>0</v>
      </c>
      <c r="GK6">
        <v>0</v>
      </c>
      <c r="GL6">
        <v>0</v>
      </c>
      <c r="GM6">
        <v>0</v>
      </c>
      <c r="GN6">
        <v>1</v>
      </c>
      <c r="GO6">
        <v>0</v>
      </c>
      <c r="GP6">
        <v>0</v>
      </c>
      <c r="GQ6">
        <v>1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1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2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3</v>
      </c>
      <c r="HV6">
        <v>2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1</v>
      </c>
      <c r="IE6">
        <v>0</v>
      </c>
      <c r="IF6">
        <v>1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2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1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17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1</v>
      </c>
      <c r="JQ6">
        <v>1</v>
      </c>
      <c r="JR6">
        <v>0</v>
      </c>
      <c r="JS6">
        <v>0</v>
      </c>
      <c r="JT6">
        <v>0</v>
      </c>
      <c r="JU6">
        <v>2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1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1</v>
      </c>
      <c r="KN6">
        <v>0</v>
      </c>
      <c r="KO6">
        <v>0</v>
      </c>
      <c r="KP6">
        <v>0</v>
      </c>
      <c r="KQ6">
        <v>0</v>
      </c>
      <c r="KR6">
        <v>0</v>
      </c>
      <c r="KS6">
        <v>1</v>
      </c>
      <c r="KT6">
        <v>0</v>
      </c>
      <c r="KU6">
        <v>0</v>
      </c>
      <c r="KV6">
        <v>1</v>
      </c>
      <c r="KW6">
        <v>0</v>
      </c>
      <c r="KX6">
        <v>0</v>
      </c>
      <c r="KY6">
        <v>0</v>
      </c>
      <c r="KZ6">
        <v>1</v>
      </c>
      <c r="LA6">
        <v>0</v>
      </c>
      <c r="LB6">
        <v>0</v>
      </c>
      <c r="LC6">
        <v>0</v>
      </c>
      <c r="LD6">
        <v>0</v>
      </c>
      <c r="LE6">
        <v>0</v>
      </c>
      <c r="LF6">
        <v>1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1</v>
      </c>
      <c r="LN6">
        <v>0</v>
      </c>
      <c r="LO6">
        <v>0</v>
      </c>
      <c r="LP6">
        <v>0</v>
      </c>
      <c r="LQ6">
        <v>0</v>
      </c>
      <c r="LR6">
        <v>2</v>
      </c>
      <c r="LS6">
        <v>0</v>
      </c>
      <c r="LT6">
        <v>0</v>
      </c>
      <c r="LU6">
        <v>0</v>
      </c>
      <c r="LV6">
        <v>0</v>
      </c>
      <c r="LW6">
        <v>3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1</v>
      </c>
      <c r="MQ6">
        <v>0</v>
      </c>
      <c r="MR6">
        <v>0</v>
      </c>
      <c r="MS6">
        <v>0</v>
      </c>
      <c r="MT6">
        <v>0</v>
      </c>
      <c r="MU6">
        <v>0</v>
      </c>
      <c r="MV6">
        <v>6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1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0</v>
      </c>
      <c r="NL6">
        <v>1</v>
      </c>
      <c r="NM6">
        <v>0</v>
      </c>
      <c r="NN6">
        <v>0</v>
      </c>
      <c r="NO6">
        <v>0</v>
      </c>
      <c r="NP6">
        <v>1</v>
      </c>
      <c r="NQ6">
        <v>0</v>
      </c>
      <c r="NR6">
        <v>1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1</v>
      </c>
      <c r="OC6">
        <v>0</v>
      </c>
      <c r="OD6">
        <v>0</v>
      </c>
      <c r="OE6">
        <v>0</v>
      </c>
      <c r="OF6">
        <v>0</v>
      </c>
      <c r="OG6">
        <v>0</v>
      </c>
      <c r="OH6">
        <v>0</v>
      </c>
      <c r="OI6">
        <v>0</v>
      </c>
      <c r="OJ6">
        <v>0</v>
      </c>
      <c r="OK6">
        <v>0</v>
      </c>
      <c r="OL6">
        <v>0</v>
      </c>
      <c r="OM6">
        <v>1</v>
      </c>
      <c r="ON6">
        <v>0</v>
      </c>
      <c r="OO6">
        <v>0</v>
      </c>
      <c r="OP6">
        <v>0</v>
      </c>
      <c r="OQ6">
        <v>0</v>
      </c>
      <c r="OR6">
        <v>0</v>
      </c>
      <c r="OS6">
        <v>0</v>
      </c>
      <c r="OT6">
        <v>0</v>
      </c>
      <c r="OU6">
        <v>0</v>
      </c>
      <c r="OV6">
        <v>0</v>
      </c>
      <c r="OW6">
        <v>0</v>
      </c>
      <c r="OX6">
        <v>0</v>
      </c>
      <c r="OY6">
        <v>0</v>
      </c>
      <c r="OZ6">
        <v>1</v>
      </c>
      <c r="PA6">
        <v>0</v>
      </c>
      <c r="PB6">
        <v>0</v>
      </c>
      <c r="PC6">
        <v>0</v>
      </c>
      <c r="PD6">
        <v>0</v>
      </c>
      <c r="PE6">
        <v>0</v>
      </c>
      <c r="PF6">
        <v>0</v>
      </c>
      <c r="PG6">
        <v>0</v>
      </c>
      <c r="PH6">
        <v>0</v>
      </c>
      <c r="PI6">
        <v>0</v>
      </c>
      <c r="PJ6">
        <v>0</v>
      </c>
      <c r="PK6">
        <v>1</v>
      </c>
      <c r="PL6">
        <v>0</v>
      </c>
      <c r="PM6">
        <v>0</v>
      </c>
      <c r="PN6">
        <v>0</v>
      </c>
      <c r="PO6">
        <v>0</v>
      </c>
      <c r="PP6">
        <v>0</v>
      </c>
      <c r="PQ6">
        <v>0</v>
      </c>
      <c r="PR6">
        <v>0</v>
      </c>
      <c r="PS6">
        <v>0</v>
      </c>
      <c r="PT6">
        <v>1</v>
      </c>
      <c r="PU6">
        <v>0</v>
      </c>
      <c r="PV6">
        <v>0</v>
      </c>
      <c r="PW6">
        <v>0</v>
      </c>
      <c r="PX6">
        <v>0</v>
      </c>
      <c r="PY6">
        <v>0</v>
      </c>
      <c r="PZ6">
        <v>0</v>
      </c>
      <c r="QA6">
        <v>1</v>
      </c>
      <c r="QB6">
        <v>2</v>
      </c>
      <c r="QC6">
        <v>2</v>
      </c>
      <c r="QD6">
        <v>0</v>
      </c>
      <c r="QE6">
        <v>0</v>
      </c>
      <c r="QF6">
        <v>0</v>
      </c>
      <c r="QG6">
        <v>1</v>
      </c>
      <c r="QH6">
        <v>1</v>
      </c>
      <c r="QI6">
        <v>0</v>
      </c>
      <c r="QJ6">
        <v>0</v>
      </c>
      <c r="QK6">
        <v>2</v>
      </c>
      <c r="QL6">
        <v>0</v>
      </c>
      <c r="QM6">
        <v>0</v>
      </c>
      <c r="QN6">
        <v>0</v>
      </c>
      <c r="QO6">
        <v>0</v>
      </c>
      <c r="QP6">
        <v>0</v>
      </c>
      <c r="QQ6">
        <v>0</v>
      </c>
      <c r="QR6">
        <v>0</v>
      </c>
      <c r="QS6">
        <v>0</v>
      </c>
      <c r="QT6">
        <v>1</v>
      </c>
      <c r="QU6">
        <v>0</v>
      </c>
      <c r="QV6">
        <v>0</v>
      </c>
      <c r="QW6">
        <v>0</v>
      </c>
      <c r="QX6">
        <v>0</v>
      </c>
      <c r="QY6">
        <v>0</v>
      </c>
    </row>
    <row r="7" spans="2:467" hidden="1" x14ac:dyDescent="0.4">
      <c r="B7" t="str">
        <f>"9784004319573"</f>
        <v>9784004319573</v>
      </c>
      <c r="C7" t="s">
        <v>526</v>
      </c>
      <c r="D7" t="s">
        <v>504</v>
      </c>
      <c r="E7" t="s">
        <v>527</v>
      </c>
      <c r="G7" t="s">
        <v>521</v>
      </c>
      <c r="H7" t="str">
        <f>"0236"</f>
        <v>0236</v>
      </c>
      <c r="I7" t="s">
        <v>481</v>
      </c>
      <c r="J7" t="s">
        <v>482</v>
      </c>
      <c r="K7" t="s">
        <v>505</v>
      </c>
      <c r="L7" s="1">
        <v>44949</v>
      </c>
      <c r="M7">
        <v>840</v>
      </c>
      <c r="N7" t="str">
        <f>"316.2"</f>
        <v>316.2</v>
      </c>
      <c r="P7">
        <v>101</v>
      </c>
      <c r="Q7">
        <v>64</v>
      </c>
      <c r="R7">
        <v>0</v>
      </c>
      <c r="S7">
        <v>1</v>
      </c>
      <c r="T7">
        <v>0</v>
      </c>
      <c r="U7">
        <v>2</v>
      </c>
      <c r="V7">
        <v>0</v>
      </c>
      <c r="W7">
        <v>0</v>
      </c>
      <c r="X7">
        <v>0</v>
      </c>
      <c r="Y7">
        <v>1</v>
      </c>
      <c r="Z7">
        <v>0</v>
      </c>
      <c r="AA7">
        <v>0</v>
      </c>
      <c r="AB7">
        <v>0</v>
      </c>
      <c r="AC7">
        <v>0</v>
      </c>
      <c r="AD7">
        <v>0</v>
      </c>
      <c r="AE7">
        <v>1</v>
      </c>
      <c r="AF7">
        <v>0</v>
      </c>
      <c r="AG7">
        <v>0</v>
      </c>
      <c r="AH7">
        <v>0</v>
      </c>
      <c r="AI7">
        <v>0</v>
      </c>
      <c r="AJ7">
        <v>1</v>
      </c>
      <c r="AK7">
        <v>0</v>
      </c>
      <c r="AL7">
        <v>1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1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1</v>
      </c>
      <c r="BT7">
        <v>1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1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5</v>
      </c>
      <c r="CI7">
        <v>2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8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1</v>
      </c>
      <c r="CZ7">
        <v>0</v>
      </c>
      <c r="DA7">
        <v>0</v>
      </c>
      <c r="DB7">
        <v>1</v>
      </c>
      <c r="DC7">
        <v>6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1</v>
      </c>
      <c r="DU7">
        <v>0</v>
      </c>
      <c r="DV7">
        <v>0</v>
      </c>
      <c r="DW7">
        <v>0</v>
      </c>
      <c r="DX7">
        <v>0</v>
      </c>
      <c r="DY7">
        <v>2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1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1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1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1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5</v>
      </c>
      <c r="FU7">
        <v>0</v>
      </c>
      <c r="FV7">
        <v>0</v>
      </c>
      <c r="FW7">
        <v>0</v>
      </c>
      <c r="FX7">
        <v>0</v>
      </c>
      <c r="FY7">
        <v>1</v>
      </c>
      <c r="FZ7">
        <v>0</v>
      </c>
      <c r="GA7">
        <v>0</v>
      </c>
      <c r="GB7">
        <v>1</v>
      </c>
      <c r="GC7">
        <v>1</v>
      </c>
      <c r="GD7">
        <v>1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2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1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1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1</v>
      </c>
      <c r="IE7">
        <v>0</v>
      </c>
      <c r="IF7">
        <v>1</v>
      </c>
      <c r="IG7">
        <v>0</v>
      </c>
      <c r="IH7">
        <v>0</v>
      </c>
      <c r="II7">
        <v>0</v>
      </c>
      <c r="IJ7">
        <v>0</v>
      </c>
      <c r="IK7">
        <v>0</v>
      </c>
      <c r="IL7">
        <v>1</v>
      </c>
      <c r="IM7">
        <v>0</v>
      </c>
      <c r="IN7">
        <v>0</v>
      </c>
      <c r="IO7">
        <v>1</v>
      </c>
      <c r="IP7">
        <v>0</v>
      </c>
      <c r="IQ7">
        <v>0</v>
      </c>
      <c r="IR7">
        <v>0</v>
      </c>
      <c r="IS7">
        <v>0</v>
      </c>
      <c r="IT7">
        <v>2</v>
      </c>
      <c r="IU7">
        <v>1</v>
      </c>
      <c r="IV7">
        <v>1</v>
      </c>
      <c r="IW7">
        <v>0</v>
      </c>
      <c r="IX7">
        <v>0</v>
      </c>
      <c r="IY7">
        <v>1</v>
      </c>
      <c r="IZ7">
        <v>0</v>
      </c>
      <c r="JA7">
        <v>2</v>
      </c>
      <c r="JB7">
        <v>0</v>
      </c>
      <c r="JC7">
        <v>0</v>
      </c>
      <c r="JD7">
        <v>0</v>
      </c>
      <c r="JE7">
        <v>0</v>
      </c>
      <c r="JF7">
        <v>3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5</v>
      </c>
      <c r="JN7">
        <v>0</v>
      </c>
      <c r="JO7">
        <v>1</v>
      </c>
      <c r="JP7">
        <v>0</v>
      </c>
      <c r="JQ7">
        <v>3</v>
      </c>
      <c r="JR7">
        <v>1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2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1</v>
      </c>
      <c r="KM7">
        <v>0</v>
      </c>
      <c r="KN7">
        <v>0</v>
      </c>
      <c r="KO7">
        <v>0</v>
      </c>
      <c r="KP7">
        <v>0</v>
      </c>
      <c r="KQ7">
        <v>0</v>
      </c>
      <c r="KR7">
        <v>1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1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1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1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0</v>
      </c>
      <c r="NL7">
        <v>1</v>
      </c>
      <c r="NM7">
        <v>0</v>
      </c>
      <c r="NN7">
        <v>0</v>
      </c>
      <c r="NO7">
        <v>0</v>
      </c>
      <c r="NP7">
        <v>1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2</v>
      </c>
      <c r="NZ7">
        <v>0</v>
      </c>
      <c r="OA7">
        <v>0</v>
      </c>
      <c r="OB7">
        <v>1</v>
      </c>
      <c r="OC7">
        <v>0</v>
      </c>
      <c r="OD7">
        <v>1</v>
      </c>
      <c r="OE7">
        <v>0</v>
      </c>
      <c r="OF7">
        <v>0</v>
      </c>
      <c r="OG7">
        <v>0</v>
      </c>
      <c r="OH7">
        <v>0</v>
      </c>
      <c r="OI7">
        <v>0</v>
      </c>
      <c r="OJ7">
        <v>0</v>
      </c>
      <c r="OK7">
        <v>1</v>
      </c>
      <c r="OL7">
        <v>0</v>
      </c>
      <c r="OM7">
        <v>0</v>
      </c>
      <c r="ON7">
        <v>0</v>
      </c>
      <c r="OO7">
        <v>0</v>
      </c>
      <c r="OP7">
        <v>0</v>
      </c>
      <c r="OQ7">
        <v>0</v>
      </c>
      <c r="OR7">
        <v>0</v>
      </c>
      <c r="OS7">
        <v>1</v>
      </c>
      <c r="OT7">
        <v>0</v>
      </c>
      <c r="OU7">
        <v>0</v>
      </c>
      <c r="OV7">
        <v>0</v>
      </c>
      <c r="OW7">
        <v>0</v>
      </c>
      <c r="OX7">
        <v>0</v>
      </c>
      <c r="OY7">
        <v>0</v>
      </c>
      <c r="OZ7">
        <v>0</v>
      </c>
      <c r="PA7">
        <v>0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0</v>
      </c>
      <c r="PI7">
        <v>0</v>
      </c>
      <c r="PJ7">
        <v>0</v>
      </c>
      <c r="PK7">
        <v>1</v>
      </c>
      <c r="PL7">
        <v>1</v>
      </c>
      <c r="PM7">
        <v>1</v>
      </c>
      <c r="PN7">
        <v>0</v>
      </c>
      <c r="PO7">
        <v>0</v>
      </c>
      <c r="PP7">
        <v>0</v>
      </c>
      <c r="PQ7">
        <v>0</v>
      </c>
      <c r="PR7">
        <v>0</v>
      </c>
      <c r="PS7">
        <v>0</v>
      </c>
      <c r="PT7">
        <v>2</v>
      </c>
      <c r="PU7">
        <v>0</v>
      </c>
      <c r="PV7">
        <v>0</v>
      </c>
      <c r="PW7">
        <v>1</v>
      </c>
      <c r="PX7">
        <v>0</v>
      </c>
      <c r="PY7">
        <v>0</v>
      </c>
      <c r="PZ7">
        <v>0</v>
      </c>
      <c r="QA7">
        <v>0</v>
      </c>
      <c r="QB7">
        <v>0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</v>
      </c>
      <c r="QK7">
        <v>0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0</v>
      </c>
      <c r="QS7">
        <v>0</v>
      </c>
      <c r="QT7">
        <v>0</v>
      </c>
      <c r="QU7">
        <v>0</v>
      </c>
      <c r="QV7">
        <v>0</v>
      </c>
      <c r="QW7">
        <v>0</v>
      </c>
      <c r="QX7">
        <v>0</v>
      </c>
      <c r="QY7">
        <v>0</v>
      </c>
    </row>
    <row r="8" spans="2:467" hidden="1" x14ac:dyDescent="0.4">
      <c r="B8" t="str">
        <f>"9784004319559"</f>
        <v>9784004319559</v>
      </c>
      <c r="C8" t="s">
        <v>531</v>
      </c>
      <c r="D8" t="s">
        <v>532</v>
      </c>
      <c r="E8" t="s">
        <v>533</v>
      </c>
      <c r="G8" t="s">
        <v>521</v>
      </c>
      <c r="H8" t="str">
        <f>"0231"</f>
        <v>0231</v>
      </c>
      <c r="I8" t="s">
        <v>481</v>
      </c>
      <c r="J8" t="s">
        <v>482</v>
      </c>
      <c r="K8" t="s">
        <v>502</v>
      </c>
      <c r="L8" s="1">
        <v>44949</v>
      </c>
      <c r="M8">
        <v>980</v>
      </c>
      <c r="N8" t="str">
        <f>"312.1"</f>
        <v>312.1</v>
      </c>
      <c r="P8">
        <v>89</v>
      </c>
      <c r="Q8">
        <v>63</v>
      </c>
      <c r="R8">
        <v>0</v>
      </c>
      <c r="S8">
        <v>0</v>
      </c>
      <c r="T8">
        <v>0</v>
      </c>
      <c r="U8">
        <v>2</v>
      </c>
      <c r="V8">
        <v>0</v>
      </c>
      <c r="W8">
        <v>1</v>
      </c>
      <c r="X8">
        <v>0</v>
      </c>
      <c r="Y8">
        <v>1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1</v>
      </c>
      <c r="AK8">
        <v>0</v>
      </c>
      <c r="AL8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1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1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2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2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9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1</v>
      </c>
      <c r="CY8">
        <v>1</v>
      </c>
      <c r="CZ8">
        <v>0</v>
      </c>
      <c r="DA8">
        <v>0</v>
      </c>
      <c r="DB8">
        <v>1</v>
      </c>
      <c r="DC8">
        <v>1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1</v>
      </c>
      <c r="DU8">
        <v>0</v>
      </c>
      <c r="DV8">
        <v>0</v>
      </c>
      <c r="DW8">
        <v>0</v>
      </c>
      <c r="DX8">
        <v>0</v>
      </c>
      <c r="DY8">
        <v>1</v>
      </c>
      <c r="DZ8">
        <v>0</v>
      </c>
      <c r="EA8">
        <v>0</v>
      </c>
      <c r="EB8">
        <v>0</v>
      </c>
      <c r="EC8">
        <v>0</v>
      </c>
      <c r="ED8">
        <v>1</v>
      </c>
      <c r="EE8">
        <v>0</v>
      </c>
      <c r="EF8">
        <v>1</v>
      </c>
      <c r="EG8">
        <v>0</v>
      </c>
      <c r="EH8">
        <v>1</v>
      </c>
      <c r="EI8">
        <v>0</v>
      </c>
      <c r="EJ8">
        <v>0</v>
      </c>
      <c r="EK8">
        <v>0</v>
      </c>
      <c r="EL8">
        <v>0</v>
      </c>
      <c r="EM8">
        <v>1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1</v>
      </c>
      <c r="FP8">
        <v>0</v>
      </c>
      <c r="FQ8">
        <v>0</v>
      </c>
      <c r="FR8">
        <v>0</v>
      </c>
      <c r="FS8">
        <v>0</v>
      </c>
      <c r="FT8">
        <v>2</v>
      </c>
      <c r="FU8">
        <v>0</v>
      </c>
      <c r="FV8">
        <v>0</v>
      </c>
      <c r="FW8">
        <v>0</v>
      </c>
      <c r="FX8">
        <v>0</v>
      </c>
      <c r="FY8">
        <v>1</v>
      </c>
      <c r="FZ8">
        <v>0</v>
      </c>
      <c r="GA8">
        <v>0</v>
      </c>
      <c r="GB8">
        <v>2</v>
      </c>
      <c r="GC8">
        <v>1</v>
      </c>
      <c r="GD8">
        <v>1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1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2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2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1</v>
      </c>
      <c r="IE8">
        <v>0</v>
      </c>
      <c r="IF8">
        <v>1</v>
      </c>
      <c r="IG8">
        <v>0</v>
      </c>
      <c r="IH8">
        <v>0</v>
      </c>
      <c r="II8">
        <v>0</v>
      </c>
      <c r="IJ8">
        <v>0</v>
      </c>
      <c r="IK8">
        <v>0</v>
      </c>
      <c r="IL8">
        <v>1</v>
      </c>
      <c r="IM8">
        <v>0</v>
      </c>
      <c r="IN8">
        <v>0</v>
      </c>
      <c r="IO8">
        <v>1</v>
      </c>
      <c r="IP8">
        <v>0</v>
      </c>
      <c r="IQ8">
        <v>0</v>
      </c>
      <c r="IR8">
        <v>0</v>
      </c>
      <c r="IS8">
        <v>0</v>
      </c>
      <c r="IT8">
        <v>1</v>
      </c>
      <c r="IU8">
        <v>1</v>
      </c>
      <c r="IV8">
        <v>1</v>
      </c>
      <c r="IW8">
        <v>0</v>
      </c>
      <c r="IX8">
        <v>0</v>
      </c>
      <c r="IY8">
        <v>1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5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3</v>
      </c>
      <c r="JN8">
        <v>0</v>
      </c>
      <c r="JO8">
        <v>1</v>
      </c>
      <c r="JP8">
        <v>0</v>
      </c>
      <c r="JQ8">
        <v>1</v>
      </c>
      <c r="JR8">
        <v>1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1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1</v>
      </c>
      <c r="KM8">
        <v>0</v>
      </c>
      <c r="KN8">
        <v>0</v>
      </c>
      <c r="KO8">
        <v>0</v>
      </c>
      <c r="KP8">
        <v>0</v>
      </c>
      <c r="KQ8">
        <v>0</v>
      </c>
      <c r="KR8">
        <v>1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1</v>
      </c>
      <c r="LT8">
        <v>0</v>
      </c>
      <c r="LU8">
        <v>0</v>
      </c>
      <c r="LV8">
        <v>0</v>
      </c>
      <c r="LW8">
        <v>0</v>
      </c>
      <c r="LX8">
        <v>1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1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1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0</v>
      </c>
      <c r="NL8">
        <v>1</v>
      </c>
      <c r="NM8">
        <v>0</v>
      </c>
      <c r="NN8">
        <v>0</v>
      </c>
      <c r="NO8">
        <v>0</v>
      </c>
      <c r="NP8">
        <v>1</v>
      </c>
      <c r="NQ8">
        <v>0</v>
      </c>
      <c r="NR8">
        <v>2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2</v>
      </c>
      <c r="NZ8">
        <v>0</v>
      </c>
      <c r="OA8">
        <v>0</v>
      </c>
      <c r="OB8">
        <v>1</v>
      </c>
      <c r="OC8">
        <v>0</v>
      </c>
      <c r="OD8">
        <v>1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3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1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0</v>
      </c>
      <c r="PJ8">
        <v>0</v>
      </c>
      <c r="PK8">
        <v>1</v>
      </c>
      <c r="PL8">
        <v>0</v>
      </c>
      <c r="PM8">
        <v>0</v>
      </c>
      <c r="PN8">
        <v>0</v>
      </c>
      <c r="PO8">
        <v>0</v>
      </c>
      <c r="PP8">
        <v>0</v>
      </c>
      <c r="PQ8">
        <v>0</v>
      </c>
      <c r="PR8">
        <v>0</v>
      </c>
      <c r="PS8">
        <v>0</v>
      </c>
      <c r="PT8">
        <v>2</v>
      </c>
      <c r="PU8">
        <v>0</v>
      </c>
      <c r="PV8">
        <v>0</v>
      </c>
      <c r="PW8">
        <v>1</v>
      </c>
      <c r="PX8">
        <v>0</v>
      </c>
      <c r="PY8">
        <v>0</v>
      </c>
      <c r="PZ8">
        <v>0</v>
      </c>
      <c r="QA8">
        <v>0</v>
      </c>
      <c r="QB8">
        <v>0</v>
      </c>
      <c r="QC8">
        <v>0</v>
      </c>
      <c r="QD8">
        <v>0</v>
      </c>
      <c r="QE8">
        <v>0</v>
      </c>
      <c r="QF8">
        <v>0</v>
      </c>
      <c r="QG8">
        <v>0</v>
      </c>
      <c r="QH8">
        <v>0</v>
      </c>
      <c r="QI8">
        <v>0</v>
      </c>
      <c r="QJ8">
        <v>0</v>
      </c>
      <c r="QK8">
        <v>1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0</v>
      </c>
      <c r="QS8">
        <v>0</v>
      </c>
      <c r="QT8">
        <v>0</v>
      </c>
      <c r="QU8">
        <v>0</v>
      </c>
      <c r="QV8">
        <v>0</v>
      </c>
      <c r="QW8">
        <v>0</v>
      </c>
      <c r="QX8">
        <v>0</v>
      </c>
      <c r="QY8">
        <v>0</v>
      </c>
    </row>
    <row r="9" spans="2:467" hidden="1" x14ac:dyDescent="0.4">
      <c r="B9" t="str">
        <f>"9784004319580"</f>
        <v>9784004319580</v>
      </c>
      <c r="C9" t="s">
        <v>555</v>
      </c>
      <c r="D9" t="s">
        <v>556</v>
      </c>
      <c r="E9" t="s">
        <v>557</v>
      </c>
      <c r="G9" t="s">
        <v>521</v>
      </c>
      <c r="H9" t="str">
        <f>"0291"</f>
        <v>0291</v>
      </c>
      <c r="I9" t="s">
        <v>481</v>
      </c>
      <c r="J9" t="s">
        <v>482</v>
      </c>
      <c r="K9" t="s">
        <v>558</v>
      </c>
      <c r="L9" s="1">
        <v>44949</v>
      </c>
      <c r="M9">
        <v>900</v>
      </c>
      <c r="N9" t="str">
        <f>"910.2"</f>
        <v>910.2</v>
      </c>
      <c r="P9">
        <v>82</v>
      </c>
      <c r="Q9">
        <v>62</v>
      </c>
      <c r="R9">
        <v>0</v>
      </c>
      <c r="S9">
        <v>1</v>
      </c>
      <c r="T9">
        <v>1</v>
      </c>
      <c r="U9">
        <v>2</v>
      </c>
      <c r="V9">
        <v>0</v>
      </c>
      <c r="W9">
        <v>1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</v>
      </c>
      <c r="AK9">
        <v>0</v>
      </c>
      <c r="AL9">
        <v>1</v>
      </c>
      <c r="AM9">
        <v>0</v>
      </c>
      <c r="AN9">
        <v>1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1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1</v>
      </c>
      <c r="BS9">
        <v>1</v>
      </c>
      <c r="BT9">
        <v>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2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2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7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1</v>
      </c>
      <c r="CZ9">
        <v>0</v>
      </c>
      <c r="DA9">
        <v>0</v>
      </c>
      <c r="DB9">
        <v>1</v>
      </c>
      <c r="DC9">
        <v>2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1</v>
      </c>
      <c r="DU9">
        <v>0</v>
      </c>
      <c r="DV9">
        <v>0</v>
      </c>
      <c r="DW9">
        <v>0</v>
      </c>
      <c r="DX9">
        <v>0</v>
      </c>
      <c r="DY9">
        <v>1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1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1</v>
      </c>
      <c r="FF9">
        <v>0</v>
      </c>
      <c r="FG9">
        <v>0</v>
      </c>
      <c r="FH9">
        <v>1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1</v>
      </c>
      <c r="FZ9">
        <v>0</v>
      </c>
      <c r="GA9">
        <v>0</v>
      </c>
      <c r="GB9">
        <v>1</v>
      </c>
      <c r="GC9">
        <v>1</v>
      </c>
      <c r="GD9">
        <v>1</v>
      </c>
      <c r="GE9">
        <v>0</v>
      </c>
      <c r="GF9">
        <v>0</v>
      </c>
      <c r="GG9">
        <v>0</v>
      </c>
      <c r="GH9">
        <v>0</v>
      </c>
      <c r="GI9">
        <v>1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2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2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1</v>
      </c>
      <c r="IE9">
        <v>0</v>
      </c>
      <c r="IF9">
        <v>1</v>
      </c>
      <c r="IG9">
        <v>0</v>
      </c>
      <c r="IH9">
        <v>0</v>
      </c>
      <c r="II9">
        <v>0</v>
      </c>
      <c r="IJ9">
        <v>0</v>
      </c>
      <c r="IK9">
        <v>0</v>
      </c>
      <c r="IL9">
        <v>1</v>
      </c>
      <c r="IM9">
        <v>0</v>
      </c>
      <c r="IN9">
        <v>0</v>
      </c>
      <c r="IO9">
        <v>1</v>
      </c>
      <c r="IP9">
        <v>0</v>
      </c>
      <c r="IQ9">
        <v>0</v>
      </c>
      <c r="IR9">
        <v>0</v>
      </c>
      <c r="IS9">
        <v>0</v>
      </c>
      <c r="IT9">
        <v>1</v>
      </c>
      <c r="IU9">
        <v>1</v>
      </c>
      <c r="IV9">
        <v>1</v>
      </c>
      <c r="IW9">
        <v>0</v>
      </c>
      <c r="IX9">
        <v>0</v>
      </c>
      <c r="IY9">
        <v>1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2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2</v>
      </c>
      <c r="JN9">
        <v>0</v>
      </c>
      <c r="JO9">
        <v>1</v>
      </c>
      <c r="JP9">
        <v>0</v>
      </c>
      <c r="JQ9">
        <v>0</v>
      </c>
      <c r="JR9">
        <v>1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1</v>
      </c>
      <c r="KM9">
        <v>0</v>
      </c>
      <c r="KN9">
        <v>0</v>
      </c>
      <c r="KO9">
        <v>0</v>
      </c>
      <c r="KP9">
        <v>0</v>
      </c>
      <c r="KQ9">
        <v>0</v>
      </c>
      <c r="KR9">
        <v>1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1</v>
      </c>
      <c r="LK9">
        <v>0</v>
      </c>
      <c r="LL9">
        <v>0</v>
      </c>
      <c r="LM9">
        <v>0</v>
      </c>
      <c r="LN9">
        <v>0</v>
      </c>
      <c r="LO9">
        <v>1</v>
      </c>
      <c r="LP9">
        <v>2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2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1</v>
      </c>
      <c r="ND9">
        <v>0</v>
      </c>
      <c r="NE9">
        <v>3</v>
      </c>
      <c r="NF9">
        <v>1</v>
      </c>
      <c r="NG9">
        <v>0</v>
      </c>
      <c r="NH9">
        <v>0</v>
      </c>
      <c r="NI9">
        <v>0</v>
      </c>
      <c r="NJ9">
        <v>0</v>
      </c>
      <c r="NK9">
        <v>0</v>
      </c>
      <c r="NL9">
        <v>1</v>
      </c>
      <c r="NM9">
        <v>0</v>
      </c>
      <c r="NN9">
        <v>0</v>
      </c>
      <c r="NO9">
        <v>0</v>
      </c>
      <c r="NP9">
        <v>1</v>
      </c>
      <c r="NQ9">
        <v>0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2</v>
      </c>
      <c r="NZ9">
        <v>0</v>
      </c>
      <c r="OA9">
        <v>0</v>
      </c>
      <c r="OB9">
        <v>1</v>
      </c>
      <c r="OC9">
        <v>0</v>
      </c>
      <c r="OD9">
        <v>1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1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1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0</v>
      </c>
      <c r="PI9">
        <v>0</v>
      </c>
      <c r="PJ9">
        <v>0</v>
      </c>
      <c r="PK9">
        <v>0</v>
      </c>
      <c r="PL9">
        <v>0</v>
      </c>
      <c r="PM9">
        <v>0</v>
      </c>
      <c r="PN9">
        <v>0</v>
      </c>
      <c r="PO9">
        <v>0</v>
      </c>
      <c r="PP9">
        <v>0</v>
      </c>
      <c r="PQ9">
        <v>1</v>
      </c>
      <c r="PR9">
        <v>0</v>
      </c>
      <c r="PS9">
        <v>0</v>
      </c>
      <c r="PT9">
        <v>2</v>
      </c>
      <c r="PU9">
        <v>0</v>
      </c>
      <c r="PV9">
        <v>0</v>
      </c>
      <c r="PW9">
        <v>1</v>
      </c>
      <c r="PX9">
        <v>0</v>
      </c>
      <c r="PY9">
        <v>0</v>
      </c>
      <c r="PZ9">
        <v>0</v>
      </c>
      <c r="QA9">
        <v>0</v>
      </c>
      <c r="QB9">
        <v>0</v>
      </c>
      <c r="QC9">
        <v>0</v>
      </c>
      <c r="QD9">
        <v>0</v>
      </c>
      <c r="QE9">
        <v>0</v>
      </c>
      <c r="QF9">
        <v>0</v>
      </c>
      <c r="QG9">
        <v>0</v>
      </c>
      <c r="QH9">
        <v>0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0</v>
      </c>
      <c r="QT9">
        <v>1</v>
      </c>
      <c r="QU9">
        <v>0</v>
      </c>
      <c r="QV9">
        <v>0</v>
      </c>
      <c r="QW9">
        <v>0</v>
      </c>
      <c r="QX9">
        <v>0</v>
      </c>
      <c r="QY9">
        <v>0</v>
      </c>
    </row>
    <row r="10" spans="2:467" hidden="1" x14ac:dyDescent="0.4">
      <c r="B10" t="str">
        <f>"9784121027375"</f>
        <v>9784121027375</v>
      </c>
      <c r="C10" t="s">
        <v>538</v>
      </c>
      <c r="D10" t="s">
        <v>539</v>
      </c>
      <c r="E10">
        <v>2737</v>
      </c>
      <c r="G10" t="s">
        <v>540</v>
      </c>
      <c r="H10" t="str">
        <f>"1236"</f>
        <v>1236</v>
      </c>
      <c r="I10" t="s">
        <v>541</v>
      </c>
      <c r="J10" t="s">
        <v>482</v>
      </c>
      <c r="K10" t="s">
        <v>505</v>
      </c>
      <c r="L10" s="1">
        <v>44944</v>
      </c>
      <c r="M10">
        <v>820</v>
      </c>
      <c r="N10" t="str">
        <f>"152.1"</f>
        <v>152.1</v>
      </c>
      <c r="P10">
        <v>88</v>
      </c>
      <c r="Q10">
        <v>59</v>
      </c>
      <c r="R10">
        <v>0</v>
      </c>
      <c r="S10">
        <v>1</v>
      </c>
      <c r="T10">
        <v>0</v>
      </c>
      <c r="U10">
        <v>1</v>
      </c>
      <c r="V10">
        <v>0</v>
      </c>
      <c r="W10">
        <v>1</v>
      </c>
      <c r="X10">
        <v>0</v>
      </c>
      <c r="Y10">
        <v>1</v>
      </c>
      <c r="Z10">
        <v>0</v>
      </c>
      <c r="AA10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1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</v>
      </c>
      <c r="BC10">
        <v>0</v>
      </c>
      <c r="BD10">
        <v>0</v>
      </c>
      <c r="BE10">
        <v>1</v>
      </c>
      <c r="BF10">
        <v>0</v>
      </c>
      <c r="BG10">
        <v>1</v>
      </c>
      <c r="BH10">
        <v>0</v>
      </c>
      <c r="BI10">
        <v>0</v>
      </c>
      <c r="BJ10">
        <v>0</v>
      </c>
      <c r="BK10">
        <v>0</v>
      </c>
      <c r="BL10">
        <v>3</v>
      </c>
      <c r="BM10">
        <v>1</v>
      </c>
      <c r="BN10">
        <v>0</v>
      </c>
      <c r="BO10">
        <v>0</v>
      </c>
      <c r="BP10">
        <v>0</v>
      </c>
      <c r="BQ10">
        <v>0</v>
      </c>
      <c r="BR10">
        <v>1</v>
      </c>
      <c r="BS10">
        <v>1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2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8</v>
      </c>
      <c r="CI10">
        <v>2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7</v>
      </c>
      <c r="CR10">
        <v>0</v>
      </c>
      <c r="CS10">
        <v>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1</v>
      </c>
      <c r="CZ10">
        <v>0</v>
      </c>
      <c r="DA10">
        <v>0</v>
      </c>
      <c r="DB10">
        <v>3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1</v>
      </c>
      <c r="DU10">
        <v>0</v>
      </c>
      <c r="DV10">
        <v>0</v>
      </c>
      <c r="DW10">
        <v>0</v>
      </c>
      <c r="DX10">
        <v>0</v>
      </c>
      <c r="DY10">
        <v>1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1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1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1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1</v>
      </c>
      <c r="FP10">
        <v>0</v>
      </c>
      <c r="FQ10">
        <v>0</v>
      </c>
      <c r="FR10">
        <v>0</v>
      </c>
      <c r="FS10">
        <v>0</v>
      </c>
      <c r="FT10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1</v>
      </c>
      <c r="GJ10">
        <v>0</v>
      </c>
      <c r="GK10">
        <v>0</v>
      </c>
      <c r="GL10">
        <v>0</v>
      </c>
      <c r="GM10">
        <v>0</v>
      </c>
      <c r="GN10">
        <v>1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1</v>
      </c>
      <c r="GY10">
        <v>0</v>
      </c>
      <c r="GZ10">
        <v>0</v>
      </c>
      <c r="HA10">
        <v>0</v>
      </c>
      <c r="HB10">
        <v>0</v>
      </c>
      <c r="HC10">
        <v>1</v>
      </c>
      <c r="HD10">
        <v>0</v>
      </c>
      <c r="HE10">
        <v>0</v>
      </c>
      <c r="HF10">
        <v>1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1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1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1</v>
      </c>
      <c r="IZ10">
        <v>0</v>
      </c>
      <c r="JA10">
        <v>0</v>
      </c>
      <c r="JB10">
        <v>2</v>
      </c>
      <c r="JC10">
        <v>0</v>
      </c>
      <c r="JD10">
        <v>0</v>
      </c>
      <c r="JE10">
        <v>0</v>
      </c>
      <c r="JF10">
        <v>4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2</v>
      </c>
      <c r="JN10">
        <v>0</v>
      </c>
      <c r="JO10">
        <v>0</v>
      </c>
      <c r="JP10">
        <v>0</v>
      </c>
      <c r="JQ10">
        <v>2</v>
      </c>
      <c r="JR10">
        <v>0</v>
      </c>
      <c r="JS10">
        <v>0</v>
      </c>
      <c r="JT10">
        <v>0</v>
      </c>
      <c r="JU10">
        <v>1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1</v>
      </c>
      <c r="LW10">
        <v>2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1</v>
      </c>
      <c r="ND10">
        <v>0</v>
      </c>
      <c r="NE10">
        <v>2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1</v>
      </c>
      <c r="NQ10">
        <v>0</v>
      </c>
      <c r="NR10">
        <v>1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1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3</v>
      </c>
      <c r="OT10">
        <v>0</v>
      </c>
      <c r="OU10">
        <v>0</v>
      </c>
      <c r="OV10">
        <v>0</v>
      </c>
      <c r="OW10">
        <v>1</v>
      </c>
      <c r="OX10">
        <v>0</v>
      </c>
      <c r="OY10">
        <v>0</v>
      </c>
      <c r="OZ10">
        <v>1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1</v>
      </c>
      <c r="PL10">
        <v>1</v>
      </c>
      <c r="PM10">
        <v>1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1</v>
      </c>
      <c r="PU10">
        <v>0</v>
      </c>
      <c r="PV10">
        <v>1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1</v>
      </c>
      <c r="QL10">
        <v>0</v>
      </c>
      <c r="QM10">
        <v>0</v>
      </c>
      <c r="QN10">
        <v>0</v>
      </c>
      <c r="QO10">
        <v>1</v>
      </c>
      <c r="QP10">
        <v>1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</row>
    <row r="11" spans="2:467" x14ac:dyDescent="0.4">
      <c r="B11" t="str">
        <f>"9784006004606"</f>
        <v>9784006004606</v>
      </c>
      <c r="C11" t="s">
        <v>518</v>
      </c>
      <c r="D11" t="s">
        <v>519</v>
      </c>
      <c r="E11" t="s">
        <v>520</v>
      </c>
      <c r="G11" t="s">
        <v>521</v>
      </c>
      <c r="H11" t="str">
        <f>"0116"</f>
        <v>0116</v>
      </c>
      <c r="I11" t="s">
        <v>481</v>
      </c>
      <c r="J11" t="s">
        <v>487</v>
      </c>
      <c r="K11" t="s">
        <v>522</v>
      </c>
      <c r="L11" s="1">
        <v>44940</v>
      </c>
      <c r="M11">
        <v>1620</v>
      </c>
      <c r="N11" t="str">
        <f>"192.3"</f>
        <v>192.3</v>
      </c>
      <c r="P11">
        <v>104</v>
      </c>
      <c r="Q11">
        <v>53</v>
      </c>
      <c r="R11">
        <v>0</v>
      </c>
      <c r="S11">
        <v>0</v>
      </c>
      <c r="T11">
        <v>1</v>
      </c>
      <c r="U11">
        <v>1</v>
      </c>
      <c r="V11">
        <v>0</v>
      </c>
      <c r="W11">
        <v>0</v>
      </c>
      <c r="X11">
        <v>0</v>
      </c>
      <c r="Y11">
        <v>1</v>
      </c>
      <c r="Z11">
        <v>0</v>
      </c>
      <c r="AA11">
        <v>1</v>
      </c>
      <c r="AB11">
        <v>0</v>
      </c>
      <c r="AC11">
        <v>0</v>
      </c>
      <c r="AD11">
        <v>0</v>
      </c>
      <c r="AE11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1</v>
      </c>
      <c r="BC11">
        <v>0</v>
      </c>
      <c r="BD11">
        <v>0</v>
      </c>
      <c r="BE11">
        <v>1</v>
      </c>
      <c r="BF11">
        <v>0</v>
      </c>
      <c r="BG11">
        <v>1</v>
      </c>
      <c r="BH11">
        <v>0</v>
      </c>
      <c r="BI11">
        <v>0</v>
      </c>
      <c r="BJ11">
        <v>0</v>
      </c>
      <c r="BK11">
        <v>0</v>
      </c>
      <c r="BL11">
        <v>2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1</v>
      </c>
      <c r="CF11">
        <v>0</v>
      </c>
      <c r="CG11">
        <v>0</v>
      </c>
      <c r="CH11">
        <v>14</v>
      </c>
      <c r="CI11">
        <v>7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6</v>
      </c>
      <c r="CR11">
        <v>0</v>
      </c>
      <c r="CS11">
        <v>2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2</v>
      </c>
      <c r="DC11">
        <v>3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1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4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1</v>
      </c>
      <c r="EG11">
        <v>0</v>
      </c>
      <c r="EH11">
        <v>1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2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1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1</v>
      </c>
      <c r="FW11">
        <v>0</v>
      </c>
      <c r="FX11">
        <v>1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2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1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3</v>
      </c>
      <c r="HV11">
        <v>0</v>
      </c>
      <c r="HW11">
        <v>0</v>
      </c>
      <c r="HX11">
        <v>0</v>
      </c>
      <c r="HY11">
        <v>2</v>
      </c>
      <c r="HZ11">
        <v>0</v>
      </c>
      <c r="IA11">
        <v>0</v>
      </c>
      <c r="IB11">
        <v>1</v>
      </c>
      <c r="IC11">
        <v>0</v>
      </c>
      <c r="ID11">
        <v>1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7</v>
      </c>
      <c r="JG11">
        <v>1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5</v>
      </c>
      <c r="JN11">
        <v>0</v>
      </c>
      <c r="JO11">
        <v>0</v>
      </c>
      <c r="JP11">
        <v>0</v>
      </c>
      <c r="JQ11">
        <v>1</v>
      </c>
      <c r="JR11">
        <v>1</v>
      </c>
      <c r="JS11">
        <v>0</v>
      </c>
      <c r="JT11">
        <v>0</v>
      </c>
      <c r="JU11">
        <v>0</v>
      </c>
      <c r="JV11">
        <v>0</v>
      </c>
      <c r="JW11">
        <v>1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1</v>
      </c>
      <c r="KR11">
        <v>0</v>
      </c>
      <c r="KS11">
        <v>0</v>
      </c>
      <c r="KT11">
        <v>0</v>
      </c>
      <c r="KU11">
        <v>0</v>
      </c>
      <c r="KV11">
        <v>1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1</v>
      </c>
      <c r="LQ11">
        <v>0</v>
      </c>
      <c r="LR11">
        <v>0</v>
      </c>
      <c r="LS11">
        <v>1</v>
      </c>
      <c r="LT11">
        <v>0</v>
      </c>
      <c r="LU11">
        <v>0</v>
      </c>
      <c r="LV11">
        <v>0</v>
      </c>
      <c r="LW11">
        <v>3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1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1</v>
      </c>
      <c r="NF11">
        <v>1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2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1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1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2</v>
      </c>
      <c r="PL11">
        <v>0</v>
      </c>
      <c r="PM11">
        <v>1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1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1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1</v>
      </c>
      <c r="QU11">
        <v>0</v>
      </c>
      <c r="QV11">
        <v>0</v>
      </c>
      <c r="QW11">
        <v>0</v>
      </c>
      <c r="QX11">
        <v>0</v>
      </c>
      <c r="QY11">
        <v>0</v>
      </c>
    </row>
    <row r="12" spans="2:467" x14ac:dyDescent="0.4">
      <c r="B12" t="str">
        <f>"9784003393437"</f>
        <v>9784003393437</v>
      </c>
      <c r="C12" t="s">
        <v>542</v>
      </c>
      <c r="D12" t="s">
        <v>543</v>
      </c>
      <c r="E12" t="s">
        <v>544</v>
      </c>
      <c r="G12" t="s">
        <v>521</v>
      </c>
      <c r="H12" t="str">
        <f>"0142"</f>
        <v>0142</v>
      </c>
      <c r="I12" t="s">
        <v>481</v>
      </c>
      <c r="J12" t="s">
        <v>487</v>
      </c>
      <c r="K12" t="s">
        <v>545</v>
      </c>
      <c r="L12" s="1">
        <v>44940</v>
      </c>
      <c r="M12">
        <v>720</v>
      </c>
      <c r="N12" t="str">
        <f>"421.2"</f>
        <v>421.2</v>
      </c>
      <c r="P12">
        <v>87</v>
      </c>
      <c r="Q12">
        <v>53</v>
      </c>
      <c r="R12">
        <v>0</v>
      </c>
      <c r="S12">
        <v>0</v>
      </c>
      <c r="T12">
        <v>0</v>
      </c>
      <c r="U12">
        <v>2</v>
      </c>
      <c r="V12">
        <v>0</v>
      </c>
      <c r="W12">
        <v>0</v>
      </c>
      <c r="X12">
        <v>0</v>
      </c>
      <c r="Y12">
        <v>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1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2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3</v>
      </c>
      <c r="CI12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7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1</v>
      </c>
      <c r="DC12">
        <v>1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2</v>
      </c>
      <c r="EE12">
        <v>1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1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1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1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1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1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7</v>
      </c>
      <c r="HW12">
        <v>0</v>
      </c>
      <c r="HX12">
        <v>0</v>
      </c>
      <c r="HY12">
        <v>1</v>
      </c>
      <c r="HZ12">
        <v>0</v>
      </c>
      <c r="IA12">
        <v>0</v>
      </c>
      <c r="IB12">
        <v>1</v>
      </c>
      <c r="IC12">
        <v>0</v>
      </c>
      <c r="ID12">
        <v>1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2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7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3</v>
      </c>
      <c r="JN12">
        <v>0</v>
      </c>
      <c r="JO12">
        <v>1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1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1</v>
      </c>
      <c r="KS12">
        <v>0</v>
      </c>
      <c r="KT12">
        <v>0</v>
      </c>
      <c r="KU12">
        <v>0</v>
      </c>
      <c r="KV12">
        <v>1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1</v>
      </c>
      <c r="LH12">
        <v>1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1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1</v>
      </c>
      <c r="LW12">
        <v>3</v>
      </c>
      <c r="LX12">
        <v>0</v>
      </c>
      <c r="LY12">
        <v>0</v>
      </c>
      <c r="LZ12">
        <v>0</v>
      </c>
      <c r="MA12">
        <v>0</v>
      </c>
      <c r="MB12">
        <v>2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1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1</v>
      </c>
      <c r="ND12">
        <v>0</v>
      </c>
      <c r="NE12">
        <v>1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1</v>
      </c>
      <c r="NM12">
        <v>0</v>
      </c>
      <c r="NN12">
        <v>1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2</v>
      </c>
      <c r="NZ12">
        <v>0</v>
      </c>
      <c r="OA12">
        <v>0</v>
      </c>
      <c r="OB12">
        <v>1</v>
      </c>
      <c r="OC12">
        <v>0</v>
      </c>
      <c r="OD12">
        <v>0</v>
      </c>
      <c r="OE12">
        <v>0</v>
      </c>
      <c r="OF12">
        <v>0</v>
      </c>
      <c r="OG12">
        <v>1</v>
      </c>
      <c r="OH12">
        <v>0</v>
      </c>
      <c r="OI12">
        <v>0</v>
      </c>
      <c r="OJ12">
        <v>0</v>
      </c>
      <c r="OK12">
        <v>2</v>
      </c>
      <c r="OL12">
        <v>0</v>
      </c>
      <c r="OM12">
        <v>1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1</v>
      </c>
      <c r="OT12">
        <v>1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1</v>
      </c>
      <c r="PJ12">
        <v>0</v>
      </c>
      <c r="PK12">
        <v>0</v>
      </c>
      <c r="PL12">
        <v>0</v>
      </c>
      <c r="PM12">
        <v>1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2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1</v>
      </c>
      <c r="QB12">
        <v>1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</row>
    <row r="13" spans="2:467" hidden="1" x14ac:dyDescent="0.4">
      <c r="B13" t="str">
        <f>"9784480075314"</f>
        <v>9784480075314</v>
      </c>
      <c r="C13" t="s">
        <v>567</v>
      </c>
      <c r="D13" t="s">
        <v>568</v>
      </c>
      <c r="E13">
        <v>1704</v>
      </c>
      <c r="G13" t="s">
        <v>501</v>
      </c>
      <c r="H13" t="str">
        <f>"0237"</f>
        <v>0237</v>
      </c>
      <c r="I13" t="s">
        <v>481</v>
      </c>
      <c r="J13" t="s">
        <v>482</v>
      </c>
      <c r="K13" t="s">
        <v>569</v>
      </c>
      <c r="L13" s="1">
        <v>44933</v>
      </c>
      <c r="M13">
        <v>920</v>
      </c>
      <c r="N13" t="str">
        <f>"830.7"</f>
        <v>830.7</v>
      </c>
      <c r="P13">
        <v>73</v>
      </c>
      <c r="Q13">
        <v>52</v>
      </c>
      <c r="R13">
        <v>0</v>
      </c>
      <c r="S13">
        <v>1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  <c r="AA13">
        <v>1</v>
      </c>
      <c r="AB13">
        <v>0</v>
      </c>
      <c r="AC13">
        <v>0</v>
      </c>
      <c r="AD13">
        <v>0</v>
      </c>
      <c r="AE13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</v>
      </c>
      <c r="BC13">
        <v>0</v>
      </c>
      <c r="BD13">
        <v>0</v>
      </c>
      <c r="BE13">
        <v>0</v>
      </c>
      <c r="BF13">
        <v>0</v>
      </c>
      <c r="BG13">
        <v>1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</v>
      </c>
      <c r="CD13">
        <v>0</v>
      </c>
      <c r="CE13">
        <v>0</v>
      </c>
      <c r="CF13">
        <v>0</v>
      </c>
      <c r="CG13">
        <v>0</v>
      </c>
      <c r="CH13">
        <v>5</v>
      </c>
      <c r="CI13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6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2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1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1</v>
      </c>
      <c r="DZ13">
        <v>0</v>
      </c>
      <c r="EA13">
        <v>0</v>
      </c>
      <c r="EB13">
        <v>0</v>
      </c>
      <c r="EC13">
        <v>0</v>
      </c>
      <c r="ED13">
        <v>1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1</v>
      </c>
      <c r="FE13">
        <v>1</v>
      </c>
      <c r="FF13">
        <v>0</v>
      </c>
      <c r="FG13">
        <v>0</v>
      </c>
      <c r="FH13">
        <v>1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1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1</v>
      </c>
      <c r="GE13">
        <v>0</v>
      </c>
      <c r="GF13">
        <v>0</v>
      </c>
      <c r="GG13">
        <v>0</v>
      </c>
      <c r="GH13">
        <v>0</v>
      </c>
      <c r="GI13">
        <v>1</v>
      </c>
      <c r="GJ13">
        <v>0</v>
      </c>
      <c r="GK13">
        <v>0</v>
      </c>
      <c r="GL13">
        <v>1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4</v>
      </c>
      <c r="HV13">
        <v>1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2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1</v>
      </c>
      <c r="IU13">
        <v>0</v>
      </c>
      <c r="IV13">
        <v>1</v>
      </c>
      <c r="IW13">
        <v>0</v>
      </c>
      <c r="IX13">
        <v>0</v>
      </c>
      <c r="IY13">
        <v>1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2</v>
      </c>
      <c r="JG13">
        <v>1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2</v>
      </c>
      <c r="JN13">
        <v>0</v>
      </c>
      <c r="JO13">
        <v>0</v>
      </c>
      <c r="JP13">
        <v>0</v>
      </c>
      <c r="JQ13">
        <v>0</v>
      </c>
      <c r="JR13">
        <v>1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1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1</v>
      </c>
      <c r="LK13">
        <v>0</v>
      </c>
      <c r="LL13">
        <v>0</v>
      </c>
      <c r="LM13">
        <v>0</v>
      </c>
      <c r="LN13">
        <v>1</v>
      </c>
      <c r="LO13">
        <v>0</v>
      </c>
      <c r="LP13">
        <v>1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1</v>
      </c>
      <c r="LW13">
        <v>1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1</v>
      </c>
      <c r="MU13">
        <v>0</v>
      </c>
      <c r="MV13">
        <v>4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2</v>
      </c>
      <c r="NZ13">
        <v>0</v>
      </c>
      <c r="OA13">
        <v>0</v>
      </c>
      <c r="OB13">
        <v>1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1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2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1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1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1</v>
      </c>
      <c r="QL13">
        <v>0</v>
      </c>
      <c r="QM13">
        <v>0</v>
      </c>
      <c r="QN13">
        <v>0</v>
      </c>
      <c r="QO13">
        <v>0</v>
      </c>
      <c r="QP13">
        <v>1</v>
      </c>
      <c r="QQ13">
        <v>1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1</v>
      </c>
      <c r="QX13">
        <v>0</v>
      </c>
      <c r="QY13">
        <v>0</v>
      </c>
    </row>
    <row r="14" spans="2:467" x14ac:dyDescent="0.4">
      <c r="B14" t="str">
        <f>"9784591169711"</f>
        <v>9784591169711</v>
      </c>
      <c r="C14" t="s">
        <v>570</v>
      </c>
      <c r="D14" t="s">
        <v>496</v>
      </c>
      <c r="E14" t="s">
        <v>571</v>
      </c>
      <c r="G14" t="s">
        <v>572</v>
      </c>
      <c r="H14" t="str">
        <f>"0193"</f>
        <v>0193</v>
      </c>
      <c r="I14" t="s">
        <v>481</v>
      </c>
      <c r="J14" t="s">
        <v>487</v>
      </c>
      <c r="K14" t="s">
        <v>488</v>
      </c>
      <c r="L14" s="1">
        <v>44260</v>
      </c>
      <c r="M14">
        <v>780</v>
      </c>
      <c r="N14" t="str">
        <f>"913.6"</f>
        <v>913.6</v>
      </c>
      <c r="P14">
        <v>69</v>
      </c>
      <c r="Q14">
        <v>51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</v>
      </c>
      <c r="AW14">
        <v>1</v>
      </c>
      <c r="AX14">
        <v>0</v>
      </c>
      <c r="AY14">
        <v>0</v>
      </c>
      <c r="AZ14">
        <v>0</v>
      </c>
      <c r="BA14">
        <v>0</v>
      </c>
      <c r="BB14">
        <v>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3</v>
      </c>
      <c r="BN14">
        <v>1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3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2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1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1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3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1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1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1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1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2</v>
      </c>
      <c r="FP14">
        <v>0</v>
      </c>
      <c r="FQ14">
        <v>0</v>
      </c>
      <c r="FR14">
        <v>0</v>
      </c>
      <c r="FS14">
        <v>0</v>
      </c>
      <c r="FT14">
        <v>3</v>
      </c>
      <c r="FU14">
        <v>0</v>
      </c>
      <c r="FV14">
        <v>0</v>
      </c>
      <c r="FW14">
        <v>0</v>
      </c>
      <c r="FX14">
        <v>2</v>
      </c>
      <c r="FY14">
        <v>1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1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1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2</v>
      </c>
      <c r="HZ14">
        <v>0</v>
      </c>
      <c r="IA14">
        <v>0</v>
      </c>
      <c r="IB14">
        <v>0</v>
      </c>
      <c r="IC14">
        <v>0</v>
      </c>
      <c r="ID14">
        <v>2</v>
      </c>
      <c r="IE14">
        <v>0</v>
      </c>
      <c r="IF14">
        <v>1</v>
      </c>
      <c r="IG14">
        <v>1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1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1</v>
      </c>
      <c r="IZ14">
        <v>1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2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1</v>
      </c>
      <c r="JO14">
        <v>0</v>
      </c>
      <c r="JP14">
        <v>0</v>
      </c>
      <c r="JQ14">
        <v>1</v>
      </c>
      <c r="JR14">
        <v>2</v>
      </c>
      <c r="JS14">
        <v>0</v>
      </c>
      <c r="JT14">
        <v>0</v>
      </c>
      <c r="JU14">
        <v>0</v>
      </c>
      <c r="JV14">
        <v>0</v>
      </c>
      <c r="JW14">
        <v>1</v>
      </c>
      <c r="JX14">
        <v>0</v>
      </c>
      <c r="JY14">
        <v>0</v>
      </c>
      <c r="JZ14">
        <v>1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1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2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1</v>
      </c>
      <c r="LW14">
        <v>1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1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2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1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1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1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1</v>
      </c>
      <c r="PL14">
        <v>1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1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1</v>
      </c>
      <c r="QA14">
        <v>0</v>
      </c>
      <c r="QB14">
        <v>1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</row>
    <row r="15" spans="2:467" hidden="1" x14ac:dyDescent="0.4">
      <c r="B15" t="str">
        <f>"9784121027344"</f>
        <v>9784121027344</v>
      </c>
      <c r="C15" t="s">
        <v>559</v>
      </c>
      <c r="D15" t="s">
        <v>560</v>
      </c>
      <c r="E15">
        <v>2734</v>
      </c>
      <c r="G15" t="s">
        <v>540</v>
      </c>
      <c r="H15" t="str">
        <f>"1231"</f>
        <v>1231</v>
      </c>
      <c r="I15" t="s">
        <v>541</v>
      </c>
      <c r="J15" t="s">
        <v>482</v>
      </c>
      <c r="K15" t="s">
        <v>502</v>
      </c>
      <c r="L15" s="1">
        <v>44944</v>
      </c>
      <c r="M15">
        <v>860</v>
      </c>
      <c r="N15" t="str">
        <f>"302"</f>
        <v>302</v>
      </c>
      <c r="P15">
        <v>79</v>
      </c>
      <c r="Q15">
        <v>50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  <c r="AA15">
        <v>1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2</v>
      </c>
      <c r="BM15">
        <v>1</v>
      </c>
      <c r="BN15">
        <v>0</v>
      </c>
      <c r="BO15">
        <v>0</v>
      </c>
      <c r="BP15">
        <v>0</v>
      </c>
      <c r="BQ15">
        <v>0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2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3</v>
      </c>
      <c r="CI15">
        <v>4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7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1</v>
      </c>
      <c r="CZ15">
        <v>0</v>
      </c>
      <c r="DA15">
        <v>0</v>
      </c>
      <c r="DB15">
        <v>2</v>
      </c>
      <c r="DC15">
        <v>3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3</v>
      </c>
      <c r="FE15">
        <v>0</v>
      </c>
      <c r="FF15">
        <v>0</v>
      </c>
      <c r="FG15">
        <v>0</v>
      </c>
      <c r="FH15">
        <v>2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3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1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</v>
      </c>
      <c r="GY15">
        <v>0</v>
      </c>
      <c r="GZ15">
        <v>0</v>
      </c>
      <c r="HA15">
        <v>0</v>
      </c>
      <c r="HB15">
        <v>0</v>
      </c>
      <c r="HC15">
        <v>1</v>
      </c>
      <c r="HD15">
        <v>0</v>
      </c>
      <c r="HE15">
        <v>0</v>
      </c>
      <c r="HF15">
        <v>1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3</v>
      </c>
      <c r="HV15">
        <v>1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1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1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3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4</v>
      </c>
      <c r="JN15">
        <v>0</v>
      </c>
      <c r="JO15">
        <v>0</v>
      </c>
      <c r="JP15">
        <v>0</v>
      </c>
      <c r="JQ15">
        <v>2</v>
      </c>
      <c r="JR15">
        <v>0</v>
      </c>
      <c r="JS15">
        <v>0</v>
      </c>
      <c r="JT15">
        <v>0</v>
      </c>
      <c r="JU15">
        <v>1</v>
      </c>
      <c r="JV15">
        <v>0</v>
      </c>
      <c r="JW15">
        <v>1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1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1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1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1</v>
      </c>
      <c r="LW15">
        <v>1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1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1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1</v>
      </c>
      <c r="NZ15">
        <v>0</v>
      </c>
      <c r="OA15">
        <v>0</v>
      </c>
      <c r="OB15">
        <v>1</v>
      </c>
      <c r="OC15">
        <v>0</v>
      </c>
      <c r="OD15">
        <v>0</v>
      </c>
      <c r="OE15">
        <v>0</v>
      </c>
      <c r="OF15">
        <v>0</v>
      </c>
      <c r="OG15">
        <v>1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1</v>
      </c>
      <c r="OT15">
        <v>0</v>
      </c>
      <c r="OU15">
        <v>0</v>
      </c>
      <c r="OV15">
        <v>0</v>
      </c>
      <c r="OW15">
        <v>1</v>
      </c>
      <c r="OX15">
        <v>0</v>
      </c>
      <c r="OY15">
        <v>0</v>
      </c>
      <c r="OZ15">
        <v>1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1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1</v>
      </c>
      <c r="PU15">
        <v>0</v>
      </c>
      <c r="PV15">
        <v>1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1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</row>
    <row r="16" spans="2:467" hidden="1" x14ac:dyDescent="0.4">
      <c r="B16" t="str">
        <f>"9784004319542"</f>
        <v>9784004319542</v>
      </c>
      <c r="C16" t="s">
        <v>576</v>
      </c>
      <c r="D16" t="s">
        <v>577</v>
      </c>
      <c r="E16" t="s">
        <v>578</v>
      </c>
      <c r="G16" t="s">
        <v>521</v>
      </c>
      <c r="H16" t="str">
        <f>"0222"</f>
        <v>0222</v>
      </c>
      <c r="I16" t="s">
        <v>481</v>
      </c>
      <c r="J16" t="s">
        <v>482</v>
      </c>
      <c r="K16" t="s">
        <v>579</v>
      </c>
      <c r="L16" s="1">
        <v>44916</v>
      </c>
      <c r="M16">
        <v>860</v>
      </c>
      <c r="N16" t="str">
        <f>"131.5"</f>
        <v>131.5</v>
      </c>
      <c r="P16">
        <v>69</v>
      </c>
      <c r="Q16">
        <v>50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0</v>
      </c>
      <c r="BG16">
        <v>1</v>
      </c>
      <c r="BH16">
        <v>0</v>
      </c>
      <c r="BI16">
        <v>0</v>
      </c>
      <c r="BJ16">
        <v>0</v>
      </c>
      <c r="BK16">
        <v>0</v>
      </c>
      <c r="BL16">
        <v>1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1</v>
      </c>
      <c r="CI16">
        <v>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1</v>
      </c>
      <c r="CR16">
        <v>1</v>
      </c>
      <c r="CS16">
        <v>1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1</v>
      </c>
      <c r="CZ16">
        <v>0</v>
      </c>
      <c r="DA16">
        <v>0</v>
      </c>
      <c r="DB16">
        <v>0</v>
      </c>
      <c r="DC16">
        <v>2</v>
      </c>
      <c r="DD16">
        <v>0</v>
      </c>
      <c r="DE16">
        <v>0</v>
      </c>
      <c r="DF16">
        <v>1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1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1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0</v>
      </c>
      <c r="EF16">
        <v>1</v>
      </c>
      <c r="EG16">
        <v>0</v>
      </c>
      <c r="EH16">
        <v>1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1</v>
      </c>
      <c r="FU16">
        <v>0</v>
      </c>
      <c r="FV16">
        <v>2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1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2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2</v>
      </c>
      <c r="HV16">
        <v>0</v>
      </c>
      <c r="HW16">
        <v>0</v>
      </c>
      <c r="HX16">
        <v>0</v>
      </c>
      <c r="HY16">
        <v>2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1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4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2</v>
      </c>
      <c r="JN16">
        <v>0</v>
      </c>
      <c r="JO16">
        <v>1</v>
      </c>
      <c r="JP16">
        <v>0</v>
      </c>
      <c r="JQ16">
        <v>0</v>
      </c>
      <c r="JR16">
        <v>1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1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1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2</v>
      </c>
      <c r="LX16">
        <v>1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1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1</v>
      </c>
      <c r="MU16">
        <v>0</v>
      </c>
      <c r="MV16">
        <v>1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2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1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1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1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4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2</v>
      </c>
      <c r="PU16">
        <v>0</v>
      </c>
      <c r="PV16">
        <v>1</v>
      </c>
      <c r="PW16">
        <v>1</v>
      </c>
      <c r="PX16">
        <v>0</v>
      </c>
      <c r="PY16">
        <v>0</v>
      </c>
      <c r="PZ16">
        <v>0</v>
      </c>
      <c r="QA16">
        <v>1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1</v>
      </c>
      <c r="QL16">
        <v>0</v>
      </c>
      <c r="QM16">
        <v>0</v>
      </c>
      <c r="QN16">
        <v>0</v>
      </c>
      <c r="QO16">
        <v>0</v>
      </c>
      <c r="QP16">
        <v>1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</row>
    <row r="17" spans="2:467" x14ac:dyDescent="0.4">
      <c r="B17" t="str">
        <f>"9784003751350"</f>
        <v>9784003751350</v>
      </c>
      <c r="C17" t="s">
        <v>561</v>
      </c>
      <c r="D17" t="s">
        <v>562</v>
      </c>
      <c r="E17" t="s">
        <v>563</v>
      </c>
      <c r="G17" t="s">
        <v>521</v>
      </c>
      <c r="H17" t="str">
        <f>"0197"</f>
        <v>0197</v>
      </c>
      <c r="I17" t="s">
        <v>481</v>
      </c>
      <c r="J17" t="s">
        <v>487</v>
      </c>
      <c r="K17" t="s">
        <v>564</v>
      </c>
      <c r="L17" s="1">
        <v>44940</v>
      </c>
      <c r="M17">
        <v>1070</v>
      </c>
      <c r="N17" t="str">
        <f>"953"</f>
        <v>953</v>
      </c>
      <c r="P17">
        <v>76</v>
      </c>
      <c r="Q17">
        <v>49</v>
      </c>
      <c r="R17">
        <v>0</v>
      </c>
      <c r="S17">
        <v>2</v>
      </c>
      <c r="T17">
        <v>1</v>
      </c>
      <c r="U17">
        <v>1</v>
      </c>
      <c r="V17">
        <v>0</v>
      </c>
      <c r="W17">
        <v>0</v>
      </c>
      <c r="X17">
        <v>0</v>
      </c>
      <c r="Y17">
        <v>1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1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1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6</v>
      </c>
      <c r="CI17">
        <v>2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6</v>
      </c>
      <c r="CR17">
        <v>0</v>
      </c>
      <c r="CS17">
        <v>1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1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1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1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1</v>
      </c>
      <c r="GZ17">
        <v>0</v>
      </c>
      <c r="HA17">
        <v>0</v>
      </c>
      <c r="HB17">
        <v>0</v>
      </c>
      <c r="HC17">
        <v>1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1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1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1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2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5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4</v>
      </c>
      <c r="JN17">
        <v>0</v>
      </c>
      <c r="JO17">
        <v>1</v>
      </c>
      <c r="JP17">
        <v>0</v>
      </c>
      <c r="JQ17">
        <v>1</v>
      </c>
      <c r="JR17">
        <v>1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1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1</v>
      </c>
      <c r="KS17">
        <v>0</v>
      </c>
      <c r="KT17">
        <v>0</v>
      </c>
      <c r="KU17">
        <v>0</v>
      </c>
      <c r="KV17">
        <v>1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1</v>
      </c>
      <c r="LI17">
        <v>0</v>
      </c>
      <c r="LJ17">
        <v>1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1</v>
      </c>
      <c r="LW17">
        <v>4</v>
      </c>
      <c r="LX17">
        <v>0</v>
      </c>
      <c r="LY17">
        <v>0</v>
      </c>
      <c r="LZ17">
        <v>0</v>
      </c>
      <c r="MA17">
        <v>0</v>
      </c>
      <c r="MB17">
        <v>2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1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1</v>
      </c>
      <c r="ND17">
        <v>0</v>
      </c>
      <c r="NE17">
        <v>2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1</v>
      </c>
      <c r="NM17">
        <v>0</v>
      </c>
      <c r="NN17">
        <v>1</v>
      </c>
      <c r="NO17">
        <v>0</v>
      </c>
      <c r="NP17">
        <v>0</v>
      </c>
      <c r="NQ17">
        <v>0</v>
      </c>
      <c r="NR17">
        <v>1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2</v>
      </c>
      <c r="NZ17">
        <v>0</v>
      </c>
      <c r="OA17">
        <v>0</v>
      </c>
      <c r="OB17">
        <v>1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1</v>
      </c>
      <c r="OL17">
        <v>0</v>
      </c>
      <c r="OM17">
        <v>1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1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1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1</v>
      </c>
      <c r="PJ17">
        <v>0</v>
      </c>
      <c r="PK17">
        <v>1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2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1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</row>
    <row r="18" spans="2:467" hidden="1" x14ac:dyDescent="0.4">
      <c r="B18" t="str">
        <f>"9784121027368"</f>
        <v>9784121027368</v>
      </c>
      <c r="C18" t="s">
        <v>591</v>
      </c>
      <c r="D18" t="s">
        <v>592</v>
      </c>
      <c r="E18">
        <v>2736</v>
      </c>
      <c r="G18" t="s">
        <v>540</v>
      </c>
      <c r="H18" t="str">
        <f>"1245"</f>
        <v>1245</v>
      </c>
      <c r="I18" t="s">
        <v>541</v>
      </c>
      <c r="J18" t="s">
        <v>482</v>
      </c>
      <c r="K18" t="s">
        <v>593</v>
      </c>
      <c r="L18" s="1">
        <v>44944</v>
      </c>
      <c r="M18">
        <v>900</v>
      </c>
      <c r="N18" t="str">
        <f>"465.8"</f>
        <v>465.8</v>
      </c>
      <c r="P18">
        <v>64</v>
      </c>
      <c r="Q18">
        <v>49</v>
      </c>
      <c r="R18">
        <v>0</v>
      </c>
      <c r="S18">
        <v>2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0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</v>
      </c>
      <c r="BS18">
        <v>1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2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3</v>
      </c>
      <c r="CI18">
        <v>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7</v>
      </c>
      <c r="CR18">
        <v>0</v>
      </c>
      <c r="CS18">
        <v>1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1</v>
      </c>
      <c r="CZ18">
        <v>0</v>
      </c>
      <c r="DA18">
        <v>0</v>
      </c>
      <c r="DB18">
        <v>2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2</v>
      </c>
      <c r="DZ18">
        <v>0</v>
      </c>
      <c r="EA18">
        <v>0</v>
      </c>
      <c r="EB18">
        <v>0</v>
      </c>
      <c r="EC18">
        <v>1</v>
      </c>
      <c r="ED18">
        <v>0</v>
      </c>
      <c r="EE18">
        <v>0</v>
      </c>
      <c r="EF18">
        <v>0</v>
      </c>
      <c r="EG18">
        <v>0</v>
      </c>
      <c r="EH18">
        <v>1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1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1</v>
      </c>
      <c r="FG18">
        <v>0</v>
      </c>
      <c r="FH18">
        <v>1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1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1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1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</v>
      </c>
      <c r="GY18">
        <v>0</v>
      </c>
      <c r="GZ18">
        <v>0</v>
      </c>
      <c r="HA18">
        <v>0</v>
      </c>
      <c r="HB18">
        <v>0</v>
      </c>
      <c r="HC18">
        <v>1</v>
      </c>
      <c r="HD18">
        <v>0</v>
      </c>
      <c r="HE18">
        <v>0</v>
      </c>
      <c r="HF18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1</v>
      </c>
      <c r="HV18">
        <v>2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1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1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1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1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1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1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1</v>
      </c>
      <c r="LW18">
        <v>1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1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1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1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1</v>
      </c>
      <c r="OT18">
        <v>0</v>
      </c>
      <c r="OU18">
        <v>1</v>
      </c>
      <c r="OV18">
        <v>0</v>
      </c>
      <c r="OW18">
        <v>1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1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1</v>
      </c>
      <c r="PU18">
        <v>0</v>
      </c>
      <c r="PV18">
        <v>1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1</v>
      </c>
      <c r="QP18">
        <v>0</v>
      </c>
      <c r="QQ18">
        <v>1</v>
      </c>
      <c r="QR18">
        <v>0</v>
      </c>
      <c r="QS18">
        <v>0</v>
      </c>
      <c r="QT18">
        <v>2</v>
      </c>
      <c r="QU18">
        <v>0</v>
      </c>
      <c r="QV18">
        <v>0</v>
      </c>
      <c r="QW18">
        <v>0</v>
      </c>
      <c r="QX18">
        <v>0</v>
      </c>
      <c r="QY18">
        <v>0</v>
      </c>
    </row>
    <row r="19" spans="2:467" x14ac:dyDescent="0.4">
      <c r="B19" t="str">
        <f>"9784101035413"</f>
        <v>9784101035413</v>
      </c>
      <c r="C19" t="s">
        <v>513</v>
      </c>
      <c r="D19" t="s">
        <v>514</v>
      </c>
      <c r="E19" t="s">
        <v>515</v>
      </c>
      <c r="G19" t="s">
        <v>516</v>
      </c>
      <c r="H19" t="str">
        <f>"0112"</f>
        <v>0112</v>
      </c>
      <c r="I19" t="s">
        <v>481</v>
      </c>
      <c r="J19" t="s">
        <v>487</v>
      </c>
      <c r="K19" t="s">
        <v>517</v>
      </c>
      <c r="L19" s="1">
        <v>44553</v>
      </c>
      <c r="M19">
        <v>800</v>
      </c>
      <c r="N19" t="str">
        <f>"113"</f>
        <v>113</v>
      </c>
      <c r="P19">
        <v>105</v>
      </c>
      <c r="Q19">
        <v>48</v>
      </c>
      <c r="R19">
        <v>0</v>
      </c>
      <c r="S19">
        <v>1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1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1</v>
      </c>
      <c r="BM19">
        <v>2</v>
      </c>
      <c r="BN19">
        <v>0</v>
      </c>
      <c r="BO19">
        <v>0</v>
      </c>
      <c r="BP19">
        <v>0</v>
      </c>
      <c r="BQ19">
        <v>0</v>
      </c>
      <c r="BR19">
        <v>2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10</v>
      </c>
      <c r="CI19">
        <v>8</v>
      </c>
      <c r="CJ19">
        <v>1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6</v>
      </c>
      <c r="CR19">
        <v>0</v>
      </c>
      <c r="CS19">
        <v>1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1</v>
      </c>
      <c r="DU19">
        <v>0</v>
      </c>
      <c r="DV19">
        <v>0</v>
      </c>
      <c r="DW19">
        <v>0</v>
      </c>
      <c r="DX19">
        <v>0</v>
      </c>
      <c r="DY19">
        <v>1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1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2</v>
      </c>
      <c r="FP19">
        <v>0</v>
      </c>
      <c r="FQ19">
        <v>0</v>
      </c>
      <c r="FR19">
        <v>0</v>
      </c>
      <c r="FS19">
        <v>0</v>
      </c>
      <c r="FT19">
        <v>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1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1</v>
      </c>
      <c r="HV19">
        <v>8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1</v>
      </c>
      <c r="IZ19">
        <v>0</v>
      </c>
      <c r="JA19">
        <v>0</v>
      </c>
      <c r="JB19">
        <v>0</v>
      </c>
      <c r="JC19">
        <v>1</v>
      </c>
      <c r="JD19">
        <v>0</v>
      </c>
      <c r="JE19">
        <v>0</v>
      </c>
      <c r="JF19">
        <v>10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2</v>
      </c>
      <c r="JN19">
        <v>0</v>
      </c>
      <c r="JO19">
        <v>0</v>
      </c>
      <c r="JP19">
        <v>0</v>
      </c>
      <c r="JQ19">
        <v>4</v>
      </c>
      <c r="JR19">
        <v>3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1</v>
      </c>
      <c r="KR19">
        <v>1</v>
      </c>
      <c r="KS19">
        <v>0</v>
      </c>
      <c r="KT19">
        <v>0</v>
      </c>
      <c r="KU19">
        <v>0</v>
      </c>
      <c r="KV19">
        <v>2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1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3</v>
      </c>
      <c r="LX19">
        <v>0</v>
      </c>
      <c r="LY19">
        <v>0</v>
      </c>
      <c r="LZ19">
        <v>1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1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1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1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4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2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1</v>
      </c>
      <c r="OT19">
        <v>2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1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1</v>
      </c>
      <c r="PL19">
        <v>1</v>
      </c>
      <c r="PM19">
        <v>1</v>
      </c>
      <c r="PN19">
        <v>0</v>
      </c>
      <c r="PO19">
        <v>1</v>
      </c>
      <c r="PP19">
        <v>0</v>
      </c>
      <c r="PQ19">
        <v>0</v>
      </c>
      <c r="PR19">
        <v>0</v>
      </c>
      <c r="PS19">
        <v>0</v>
      </c>
      <c r="PT19">
        <v>3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1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</row>
    <row r="20" spans="2:467" hidden="1" x14ac:dyDescent="0.4">
      <c r="B20" t="str">
        <f>"9784480075338"</f>
        <v>9784480075338</v>
      </c>
      <c r="C20" t="s">
        <v>565</v>
      </c>
      <c r="D20" t="s">
        <v>566</v>
      </c>
      <c r="E20">
        <v>1706</v>
      </c>
      <c r="G20" t="s">
        <v>501</v>
      </c>
      <c r="H20" t="str">
        <f>"0236"</f>
        <v>0236</v>
      </c>
      <c r="I20" t="s">
        <v>481</v>
      </c>
      <c r="J20" t="s">
        <v>482</v>
      </c>
      <c r="K20" t="s">
        <v>505</v>
      </c>
      <c r="L20" s="1">
        <v>44933</v>
      </c>
      <c r="M20">
        <v>880</v>
      </c>
      <c r="N20" t="str">
        <f>"365"</f>
        <v>365</v>
      </c>
      <c r="P20">
        <v>75</v>
      </c>
      <c r="Q20">
        <v>48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1</v>
      </c>
      <c r="Z20">
        <v>0</v>
      </c>
      <c r="AA20">
        <v>1</v>
      </c>
      <c r="AB20">
        <v>0</v>
      </c>
      <c r="AC20">
        <v>0</v>
      </c>
      <c r="AD20">
        <v>0</v>
      </c>
      <c r="AE20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1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2</v>
      </c>
      <c r="CI20">
        <v>2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2</v>
      </c>
      <c r="CR20">
        <v>0</v>
      </c>
      <c r="CS20">
        <v>1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3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2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3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1</v>
      </c>
      <c r="ES20">
        <v>0</v>
      </c>
      <c r="ET20">
        <v>1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1</v>
      </c>
      <c r="FF20">
        <v>1</v>
      </c>
      <c r="FG20">
        <v>0</v>
      </c>
      <c r="FH20">
        <v>1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2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2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1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1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1</v>
      </c>
      <c r="IU20">
        <v>0</v>
      </c>
      <c r="IV20">
        <v>0</v>
      </c>
      <c r="IW20">
        <v>0</v>
      </c>
      <c r="IX20">
        <v>0</v>
      </c>
      <c r="IY20">
        <v>4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2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1</v>
      </c>
      <c r="JM20">
        <v>4</v>
      </c>
      <c r="JN20">
        <v>0</v>
      </c>
      <c r="JO20">
        <v>0</v>
      </c>
      <c r="JP20">
        <v>0</v>
      </c>
      <c r="JQ20">
        <v>4</v>
      </c>
      <c r="JR20">
        <v>0</v>
      </c>
      <c r="JS20">
        <v>0</v>
      </c>
      <c r="JT20">
        <v>0</v>
      </c>
      <c r="JU20">
        <v>1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3</v>
      </c>
      <c r="KC20">
        <v>1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1</v>
      </c>
      <c r="LQ20">
        <v>0</v>
      </c>
      <c r="LR20">
        <v>1</v>
      </c>
      <c r="LS20">
        <v>0</v>
      </c>
      <c r="LT20">
        <v>0</v>
      </c>
      <c r="LU20">
        <v>0</v>
      </c>
      <c r="LV20">
        <v>1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1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3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2</v>
      </c>
      <c r="OC20">
        <v>0</v>
      </c>
      <c r="OD20">
        <v>0</v>
      </c>
      <c r="OE20">
        <v>0</v>
      </c>
      <c r="OF20">
        <v>0</v>
      </c>
      <c r="OG20">
        <v>1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1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2</v>
      </c>
      <c r="OT20">
        <v>1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1</v>
      </c>
      <c r="PH20">
        <v>0</v>
      </c>
      <c r="PI20">
        <v>0</v>
      </c>
      <c r="PJ20">
        <v>0</v>
      </c>
      <c r="PK20">
        <v>2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1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1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1</v>
      </c>
      <c r="QU20">
        <v>0</v>
      </c>
      <c r="QV20">
        <v>0</v>
      </c>
      <c r="QW20">
        <v>0</v>
      </c>
      <c r="QX20">
        <v>0</v>
      </c>
      <c r="QY20">
        <v>0</v>
      </c>
    </row>
    <row r="21" spans="2:467" hidden="1" x14ac:dyDescent="0.4">
      <c r="B21" t="str">
        <f>"9784106109683"</f>
        <v>9784106109683</v>
      </c>
      <c r="C21" t="s">
        <v>598</v>
      </c>
      <c r="D21" t="s">
        <v>599</v>
      </c>
      <c r="E21">
        <v>968</v>
      </c>
      <c r="G21" t="s">
        <v>516</v>
      </c>
      <c r="H21" t="str">
        <f>"0230"</f>
        <v>0230</v>
      </c>
      <c r="I21" t="s">
        <v>481</v>
      </c>
      <c r="J21" t="s">
        <v>482</v>
      </c>
      <c r="K21" t="s">
        <v>600</v>
      </c>
      <c r="L21" s="1">
        <v>44848</v>
      </c>
      <c r="M21">
        <v>880</v>
      </c>
      <c r="N21" t="str">
        <f>"304"</f>
        <v>304</v>
      </c>
      <c r="P21">
        <v>62</v>
      </c>
      <c r="Q21">
        <v>48</v>
      </c>
      <c r="R21">
        <v>0</v>
      </c>
      <c r="S21">
        <v>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2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4</v>
      </c>
      <c r="CI21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2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1</v>
      </c>
      <c r="EC21">
        <v>1</v>
      </c>
      <c r="ED21">
        <v>2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1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1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1</v>
      </c>
      <c r="FY21">
        <v>0</v>
      </c>
      <c r="FZ21">
        <v>1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1</v>
      </c>
      <c r="HI21">
        <v>0</v>
      </c>
      <c r="HJ21">
        <v>0</v>
      </c>
      <c r="HK21">
        <v>1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1</v>
      </c>
      <c r="HW21">
        <v>1</v>
      </c>
      <c r="HX21">
        <v>0</v>
      </c>
      <c r="HY21">
        <v>0</v>
      </c>
      <c r="HZ21">
        <v>0</v>
      </c>
      <c r="IA21">
        <v>0</v>
      </c>
      <c r="IB21">
        <v>2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1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1</v>
      </c>
      <c r="IW21">
        <v>0</v>
      </c>
      <c r="IX21">
        <v>0</v>
      </c>
      <c r="IY21">
        <v>1</v>
      </c>
      <c r="IZ21">
        <v>1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2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2</v>
      </c>
      <c r="JN21">
        <v>0</v>
      </c>
      <c r="JO21">
        <v>0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2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1</v>
      </c>
      <c r="LS21">
        <v>0</v>
      </c>
      <c r="LT21">
        <v>0</v>
      </c>
      <c r="LU21">
        <v>0</v>
      </c>
      <c r="LV21">
        <v>0</v>
      </c>
      <c r="LW21">
        <v>1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1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2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1</v>
      </c>
      <c r="ND21">
        <v>0</v>
      </c>
      <c r="NE21">
        <v>1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1</v>
      </c>
      <c r="NM21">
        <v>0</v>
      </c>
      <c r="NN21">
        <v>0</v>
      </c>
      <c r="NO21">
        <v>0</v>
      </c>
      <c r="NP21">
        <v>1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1</v>
      </c>
      <c r="NW21">
        <v>0</v>
      </c>
      <c r="NX21">
        <v>0</v>
      </c>
      <c r="NY21">
        <v>2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2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1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1</v>
      </c>
      <c r="PL21">
        <v>0</v>
      </c>
      <c r="PM21">
        <v>1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1</v>
      </c>
      <c r="PU21">
        <v>0</v>
      </c>
      <c r="PV21">
        <v>1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1</v>
      </c>
      <c r="QD21">
        <v>0</v>
      </c>
      <c r="QE21">
        <v>0</v>
      </c>
      <c r="QF21">
        <v>0</v>
      </c>
      <c r="QG21">
        <v>1</v>
      </c>
      <c r="QH21">
        <v>0</v>
      </c>
      <c r="QI21">
        <v>0</v>
      </c>
      <c r="QJ21">
        <v>0</v>
      </c>
      <c r="QK21">
        <v>1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</row>
    <row r="22" spans="2:467" x14ac:dyDescent="0.4">
      <c r="B22" t="str">
        <f>"9784003012895"</f>
        <v>9784003012895</v>
      </c>
      <c r="C22" t="s">
        <v>573</v>
      </c>
      <c r="D22" t="s">
        <v>574</v>
      </c>
      <c r="E22" t="s">
        <v>575</v>
      </c>
      <c r="G22" t="s">
        <v>521</v>
      </c>
      <c r="H22" t="str">
        <f>"0192"</f>
        <v>0192</v>
      </c>
      <c r="I22" t="s">
        <v>481</v>
      </c>
      <c r="J22" t="s">
        <v>487</v>
      </c>
      <c r="K22" t="s">
        <v>492</v>
      </c>
      <c r="L22" s="1">
        <v>44940</v>
      </c>
      <c r="M22">
        <v>1200</v>
      </c>
      <c r="N22" t="str">
        <f>"911.64"</f>
        <v>911.64</v>
      </c>
      <c r="P22">
        <v>69</v>
      </c>
      <c r="Q22">
        <v>47</v>
      </c>
      <c r="R22">
        <v>0</v>
      </c>
      <c r="S22">
        <v>1</v>
      </c>
      <c r="T22">
        <v>1</v>
      </c>
      <c r="U22">
        <v>1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1</v>
      </c>
      <c r="BM22">
        <v>1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1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1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4</v>
      </c>
      <c r="CI22">
        <v>1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8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1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1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2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1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3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5</v>
      </c>
      <c r="JN22">
        <v>0</v>
      </c>
      <c r="JO22">
        <v>1</v>
      </c>
      <c r="JP22">
        <v>0</v>
      </c>
      <c r="JQ22">
        <v>2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1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1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1</v>
      </c>
      <c r="LI22">
        <v>0</v>
      </c>
      <c r="LJ22">
        <v>1</v>
      </c>
      <c r="LK22">
        <v>0</v>
      </c>
      <c r="LL22">
        <v>0</v>
      </c>
      <c r="LM22">
        <v>0</v>
      </c>
      <c r="LN22">
        <v>0</v>
      </c>
      <c r="LO22">
        <v>1</v>
      </c>
      <c r="LP22">
        <v>1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1</v>
      </c>
      <c r="LW22">
        <v>1</v>
      </c>
      <c r="LX22">
        <v>0</v>
      </c>
      <c r="LY22">
        <v>0</v>
      </c>
      <c r="LZ22">
        <v>0</v>
      </c>
      <c r="MA22">
        <v>0</v>
      </c>
      <c r="MB22">
        <v>2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1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1</v>
      </c>
      <c r="ND22">
        <v>0</v>
      </c>
      <c r="NE22">
        <v>1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1</v>
      </c>
      <c r="NM22">
        <v>0</v>
      </c>
      <c r="NN22">
        <v>1</v>
      </c>
      <c r="NO22">
        <v>0</v>
      </c>
      <c r="NP22">
        <v>0</v>
      </c>
      <c r="NQ22">
        <v>0</v>
      </c>
      <c r="NR22">
        <v>1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3</v>
      </c>
      <c r="NZ22">
        <v>0</v>
      </c>
      <c r="OA22">
        <v>0</v>
      </c>
      <c r="OB22">
        <v>1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1</v>
      </c>
      <c r="OL22">
        <v>0</v>
      </c>
      <c r="OM22">
        <v>1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1</v>
      </c>
      <c r="OT22">
        <v>0</v>
      </c>
      <c r="OU22">
        <v>0</v>
      </c>
      <c r="OV22">
        <v>0</v>
      </c>
      <c r="OW22">
        <v>0</v>
      </c>
      <c r="OX22">
        <v>1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1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2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1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</row>
    <row r="23" spans="2:467" x14ac:dyDescent="0.4">
      <c r="B23" t="str">
        <f>"9784591169728"</f>
        <v>9784591169728</v>
      </c>
      <c r="C23" t="s">
        <v>585</v>
      </c>
      <c r="D23" t="s">
        <v>496</v>
      </c>
      <c r="E23" t="s">
        <v>586</v>
      </c>
      <c r="G23" t="s">
        <v>572</v>
      </c>
      <c r="H23" t="str">
        <f>"0193"</f>
        <v>0193</v>
      </c>
      <c r="I23" t="s">
        <v>481</v>
      </c>
      <c r="J23" t="s">
        <v>487</v>
      </c>
      <c r="K23" t="s">
        <v>488</v>
      </c>
      <c r="L23" s="1">
        <v>44260</v>
      </c>
      <c r="M23">
        <v>780</v>
      </c>
      <c r="N23" t="str">
        <f>"913.6"</f>
        <v>913.6</v>
      </c>
      <c r="P23">
        <v>65</v>
      </c>
      <c r="Q23">
        <v>47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3</v>
      </c>
      <c r="BN23">
        <v>1</v>
      </c>
      <c r="BO23">
        <v>0</v>
      </c>
      <c r="BP23">
        <v>0</v>
      </c>
      <c r="BQ23">
        <v>1</v>
      </c>
      <c r="BR23">
        <v>1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3</v>
      </c>
      <c r="CI23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1</v>
      </c>
      <c r="CR23">
        <v>0</v>
      </c>
      <c r="CS23">
        <v>0</v>
      </c>
      <c r="CT23">
        <v>1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1</v>
      </c>
      <c r="DC23">
        <v>1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2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1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1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1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3</v>
      </c>
      <c r="FP23">
        <v>0</v>
      </c>
      <c r="FQ23">
        <v>0</v>
      </c>
      <c r="FR23">
        <v>0</v>
      </c>
      <c r="FS23">
        <v>0</v>
      </c>
      <c r="FT23">
        <v>3</v>
      </c>
      <c r="FU23">
        <v>0</v>
      </c>
      <c r="FV23">
        <v>0</v>
      </c>
      <c r="FW23">
        <v>0</v>
      </c>
      <c r="FX23">
        <v>3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1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2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2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1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1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1</v>
      </c>
      <c r="IZ23">
        <v>1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2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1</v>
      </c>
      <c r="JN23">
        <v>1</v>
      </c>
      <c r="JO23">
        <v>0</v>
      </c>
      <c r="JP23">
        <v>0</v>
      </c>
      <c r="JQ23">
        <v>1</v>
      </c>
      <c r="JR23">
        <v>2</v>
      </c>
      <c r="JS23">
        <v>0</v>
      </c>
      <c r="JT23">
        <v>0</v>
      </c>
      <c r="JU23">
        <v>0</v>
      </c>
      <c r="JV23">
        <v>0</v>
      </c>
      <c r="JW23">
        <v>1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1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2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1</v>
      </c>
      <c r="LW23">
        <v>1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1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2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1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2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1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1</v>
      </c>
      <c r="PI23">
        <v>0</v>
      </c>
      <c r="PJ23">
        <v>0</v>
      </c>
      <c r="PK23">
        <v>1</v>
      </c>
      <c r="PL23">
        <v>1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1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1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1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</row>
    <row r="24" spans="2:467" hidden="1" x14ac:dyDescent="0.4">
      <c r="B24" t="str">
        <f>"9784480075093"</f>
        <v>9784480075093</v>
      </c>
      <c r="C24" t="s">
        <v>580</v>
      </c>
      <c r="D24" t="s">
        <v>581</v>
      </c>
      <c r="E24">
        <v>1686</v>
      </c>
      <c r="G24" t="s">
        <v>501</v>
      </c>
      <c r="H24" t="str">
        <f>"0295"</f>
        <v>0295</v>
      </c>
      <c r="I24" t="s">
        <v>481</v>
      </c>
      <c r="J24" t="s">
        <v>482</v>
      </c>
      <c r="K24" t="s">
        <v>509</v>
      </c>
      <c r="L24" s="1">
        <v>44845</v>
      </c>
      <c r="M24">
        <v>860</v>
      </c>
      <c r="N24" t="str">
        <f>"146.8"</f>
        <v>146.8</v>
      </c>
      <c r="P24">
        <v>68</v>
      </c>
      <c r="Q24">
        <v>46</v>
      </c>
      <c r="R24">
        <v>0</v>
      </c>
      <c r="S24">
        <v>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4</v>
      </c>
      <c r="CI24">
        <v>0</v>
      </c>
      <c r="CJ24">
        <v>0</v>
      </c>
      <c r="CK24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1</v>
      </c>
      <c r="CR24">
        <v>0</v>
      </c>
      <c r="CS24">
        <v>2</v>
      </c>
      <c r="CT24">
        <v>3</v>
      </c>
      <c r="CU24">
        <v>0</v>
      </c>
      <c r="CV24">
        <v>0</v>
      </c>
      <c r="CW24">
        <v>0</v>
      </c>
      <c r="CX24">
        <v>1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1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</v>
      </c>
      <c r="EE24">
        <v>0</v>
      </c>
      <c r="EF24">
        <v>0</v>
      </c>
      <c r="EG24">
        <v>0</v>
      </c>
      <c r="EH24">
        <v>1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1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1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1</v>
      </c>
      <c r="GB24">
        <v>0</v>
      </c>
      <c r="GC24">
        <v>0</v>
      </c>
      <c r="GD24">
        <v>0</v>
      </c>
      <c r="GE24">
        <v>0</v>
      </c>
      <c r="GF24">
        <v>1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1</v>
      </c>
      <c r="GO24">
        <v>0</v>
      </c>
      <c r="GP24">
        <v>0</v>
      </c>
      <c r="GQ24">
        <v>1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1</v>
      </c>
      <c r="HE24">
        <v>1</v>
      </c>
      <c r="HF24">
        <v>1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1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2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-1</v>
      </c>
      <c r="IM24">
        <v>0</v>
      </c>
      <c r="IN24">
        <v>0</v>
      </c>
      <c r="IO24">
        <v>0</v>
      </c>
      <c r="IP24">
        <v>0</v>
      </c>
      <c r="IQ24">
        <v>2</v>
      </c>
      <c r="IR24">
        <v>0</v>
      </c>
      <c r="IS24">
        <v>0</v>
      </c>
      <c r="IT24">
        <v>3</v>
      </c>
      <c r="IU24">
        <v>0</v>
      </c>
      <c r="IV24">
        <v>0</v>
      </c>
      <c r="IW24">
        <v>0</v>
      </c>
      <c r="IX24">
        <v>0</v>
      </c>
      <c r="IY24">
        <v>2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1</v>
      </c>
      <c r="JG24">
        <v>0</v>
      </c>
      <c r="JH24">
        <v>0</v>
      </c>
      <c r="JI24">
        <v>0</v>
      </c>
      <c r="JJ24">
        <v>2</v>
      </c>
      <c r="JK24">
        <v>0</v>
      </c>
      <c r="JL24">
        <v>0</v>
      </c>
      <c r="JM24">
        <v>1</v>
      </c>
      <c r="JN24">
        <v>0</v>
      </c>
      <c r="JO24">
        <v>0</v>
      </c>
      <c r="JP24">
        <v>1</v>
      </c>
      <c r="JQ24">
        <v>1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1</v>
      </c>
      <c r="JZ24">
        <v>0</v>
      </c>
      <c r="KA24">
        <v>0</v>
      </c>
      <c r="KB24">
        <v>1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1</v>
      </c>
      <c r="KR24">
        <v>0</v>
      </c>
      <c r="KS24">
        <v>0</v>
      </c>
      <c r="KT24">
        <v>0</v>
      </c>
      <c r="KU24">
        <v>0</v>
      </c>
      <c r="KV24">
        <v>1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1</v>
      </c>
      <c r="MM24">
        <v>0</v>
      </c>
      <c r="MN24">
        <v>1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2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5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3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2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1</v>
      </c>
      <c r="PA24">
        <v>1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1</v>
      </c>
      <c r="PW24">
        <v>0</v>
      </c>
      <c r="PX24">
        <v>0</v>
      </c>
      <c r="PY24">
        <v>0</v>
      </c>
      <c r="PZ24">
        <v>0</v>
      </c>
      <c r="QA24">
        <v>1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1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1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</row>
    <row r="25" spans="2:467" hidden="1" x14ac:dyDescent="0.4">
      <c r="B25" t="str">
        <f>"9784065280867"</f>
        <v>9784065280867</v>
      </c>
      <c r="C25" t="s">
        <v>546</v>
      </c>
      <c r="D25" t="s">
        <v>547</v>
      </c>
      <c r="E25">
        <v>2660</v>
      </c>
      <c r="G25" t="s">
        <v>548</v>
      </c>
      <c r="H25" t="str">
        <f>"0200"</f>
        <v>0200</v>
      </c>
      <c r="I25" t="s">
        <v>481</v>
      </c>
      <c r="J25" t="s">
        <v>482</v>
      </c>
      <c r="K25" t="s">
        <v>549</v>
      </c>
      <c r="L25" s="1">
        <v>44699</v>
      </c>
      <c r="M25">
        <v>1200</v>
      </c>
      <c r="N25" t="str">
        <f>"816.5"</f>
        <v>816.5</v>
      </c>
      <c r="P25">
        <v>87</v>
      </c>
      <c r="Q25">
        <v>45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1</v>
      </c>
      <c r="BC25">
        <v>0</v>
      </c>
      <c r="BD25">
        <v>0</v>
      </c>
      <c r="BE25">
        <v>1</v>
      </c>
      <c r="BF25">
        <v>0</v>
      </c>
      <c r="BG25">
        <v>1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1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5</v>
      </c>
      <c r="CI25">
        <v>1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10</v>
      </c>
      <c r="CR25">
        <v>0</v>
      </c>
      <c r="CS25">
        <v>0</v>
      </c>
      <c r="CT25">
        <v>6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1</v>
      </c>
      <c r="DC25">
        <v>1</v>
      </c>
      <c r="DD25">
        <v>0</v>
      </c>
      <c r="DE25">
        <v>0</v>
      </c>
      <c r="DF25">
        <v>4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2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2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1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1</v>
      </c>
      <c r="FW25">
        <v>0</v>
      </c>
      <c r="FX25">
        <v>2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1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1</v>
      </c>
      <c r="HV25">
        <v>1</v>
      </c>
      <c r="HW25">
        <v>0</v>
      </c>
      <c r="HX25">
        <v>0</v>
      </c>
      <c r="HY25">
        <v>2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1</v>
      </c>
      <c r="IG25">
        <v>0</v>
      </c>
      <c r="IH25">
        <v>0</v>
      </c>
      <c r="II25">
        <v>0</v>
      </c>
      <c r="IJ25">
        <v>0</v>
      </c>
      <c r="IK25">
        <v>2</v>
      </c>
      <c r="IL25">
        <v>1</v>
      </c>
      <c r="IM25">
        <v>0</v>
      </c>
      <c r="IN25">
        <v>1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6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2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2</v>
      </c>
      <c r="KC25">
        <v>0</v>
      </c>
      <c r="KD25">
        <v>0</v>
      </c>
      <c r="KE25">
        <v>1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1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1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1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1</v>
      </c>
      <c r="LW25">
        <v>1</v>
      </c>
      <c r="LX25">
        <v>0</v>
      </c>
      <c r="LY25">
        <v>0</v>
      </c>
      <c r="LZ25">
        <v>0</v>
      </c>
      <c r="MA25">
        <v>0</v>
      </c>
      <c r="MB25">
        <v>2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1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2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1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2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3</v>
      </c>
      <c r="OP25">
        <v>0</v>
      </c>
      <c r="OQ25">
        <v>0</v>
      </c>
      <c r="OR25">
        <v>0</v>
      </c>
      <c r="OS25">
        <v>0</v>
      </c>
      <c r="OT25">
        <v>1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1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3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</row>
    <row r="26" spans="2:467" hidden="1" x14ac:dyDescent="0.4">
      <c r="B26" t="str">
        <f>"9784480684424"</f>
        <v>9784480684424</v>
      </c>
      <c r="C26" t="s">
        <v>608</v>
      </c>
      <c r="D26" t="s">
        <v>609</v>
      </c>
      <c r="E26">
        <v>418</v>
      </c>
      <c r="G26" t="s">
        <v>501</v>
      </c>
      <c r="H26" t="str">
        <f>"0211"</f>
        <v>0211</v>
      </c>
      <c r="I26" t="s">
        <v>481</v>
      </c>
      <c r="J26" t="s">
        <v>482</v>
      </c>
      <c r="K26" t="s">
        <v>610</v>
      </c>
      <c r="L26" s="1">
        <v>44933</v>
      </c>
      <c r="M26">
        <v>840</v>
      </c>
      <c r="N26" t="str">
        <f>"361.4"</f>
        <v>361.4</v>
      </c>
      <c r="P26">
        <v>59</v>
      </c>
      <c r="Q26">
        <v>44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1</v>
      </c>
      <c r="BC26">
        <v>0</v>
      </c>
      <c r="BD26">
        <v>0</v>
      </c>
      <c r="BE26">
        <v>0</v>
      </c>
      <c r="BF26">
        <v>0</v>
      </c>
      <c r="BG26">
        <v>1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1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3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1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1</v>
      </c>
      <c r="CZ26">
        <v>0</v>
      </c>
      <c r="DA26">
        <v>0</v>
      </c>
      <c r="DB26">
        <v>1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1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2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2</v>
      </c>
      <c r="FP26">
        <v>0</v>
      </c>
      <c r="FQ26">
        <v>0</v>
      </c>
      <c r="FR26">
        <v>0</v>
      </c>
      <c r="FS26">
        <v>0</v>
      </c>
      <c r="FT26">
        <v>1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1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3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3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1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1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1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2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2</v>
      </c>
      <c r="JN26">
        <v>1</v>
      </c>
      <c r="JO26">
        <v>0</v>
      </c>
      <c r="JP26">
        <v>0</v>
      </c>
      <c r="JQ26">
        <v>0</v>
      </c>
      <c r="JR26">
        <v>1</v>
      </c>
      <c r="JS26">
        <v>0</v>
      </c>
      <c r="JT26">
        <v>0</v>
      </c>
      <c r="JU26">
        <v>1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1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2</v>
      </c>
      <c r="KR26">
        <v>0</v>
      </c>
      <c r="KS26">
        <v>0</v>
      </c>
      <c r="KT26">
        <v>0</v>
      </c>
      <c r="KU26">
        <v>0</v>
      </c>
      <c r="KV26">
        <v>1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1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1</v>
      </c>
      <c r="LQ26">
        <v>0</v>
      </c>
      <c r="LR26">
        <v>1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1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1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3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1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1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1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1</v>
      </c>
      <c r="PH26">
        <v>0</v>
      </c>
      <c r="PI26">
        <v>0</v>
      </c>
      <c r="PJ26">
        <v>0</v>
      </c>
      <c r="PK26">
        <v>1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1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2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1</v>
      </c>
      <c r="QU26">
        <v>0</v>
      </c>
      <c r="QV26">
        <v>0</v>
      </c>
      <c r="QW26">
        <v>0</v>
      </c>
      <c r="QX26">
        <v>0</v>
      </c>
      <c r="QY26">
        <v>0</v>
      </c>
    </row>
    <row r="27" spans="2:467" hidden="1" x14ac:dyDescent="0.4">
      <c r="B27" t="str">
        <f>"9784004319535"</f>
        <v>9784004319535</v>
      </c>
      <c r="C27" t="s">
        <v>626</v>
      </c>
      <c r="D27" t="s">
        <v>627</v>
      </c>
      <c r="E27" t="s">
        <v>628</v>
      </c>
      <c r="G27" t="s">
        <v>521</v>
      </c>
      <c r="H27" t="str">
        <f>"0236"</f>
        <v>0236</v>
      </c>
      <c r="I27" t="s">
        <v>481</v>
      </c>
      <c r="J27" t="s">
        <v>482</v>
      </c>
      <c r="K27" t="s">
        <v>505</v>
      </c>
      <c r="L27" s="1">
        <v>44916</v>
      </c>
      <c r="M27">
        <v>860</v>
      </c>
      <c r="N27" t="str">
        <f>"333.6"</f>
        <v>333.6</v>
      </c>
      <c r="P27">
        <v>55</v>
      </c>
      <c r="Q27">
        <v>44</v>
      </c>
      <c r="R27">
        <v>0</v>
      </c>
      <c r="S27">
        <v>1</v>
      </c>
      <c r="T27">
        <v>0</v>
      </c>
      <c r="U27">
        <v>1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1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1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1</v>
      </c>
      <c r="CZ27">
        <v>0</v>
      </c>
      <c r="DA27">
        <v>0</v>
      </c>
      <c r="DB27">
        <v>0</v>
      </c>
      <c r="DC27">
        <v>1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1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1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1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1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1</v>
      </c>
      <c r="FP27">
        <v>0</v>
      </c>
      <c r="FQ27">
        <v>0</v>
      </c>
      <c r="FR27">
        <v>0</v>
      </c>
      <c r="FS27">
        <v>0</v>
      </c>
      <c r="FT27">
        <v>1</v>
      </c>
      <c r="FU27">
        <v>0</v>
      </c>
      <c r="FV27">
        <v>1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1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2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1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1</v>
      </c>
      <c r="HV27">
        <v>1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1</v>
      </c>
      <c r="IP27">
        <v>0</v>
      </c>
      <c r="IQ27">
        <v>0</v>
      </c>
      <c r="IR27">
        <v>0</v>
      </c>
      <c r="IS27">
        <v>0</v>
      </c>
      <c r="IT27">
        <v>2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2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1</v>
      </c>
      <c r="JN27">
        <v>1</v>
      </c>
      <c r="JO27">
        <v>1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1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1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2</v>
      </c>
      <c r="LT27">
        <v>0</v>
      </c>
      <c r="LU27">
        <v>0</v>
      </c>
      <c r="LV27">
        <v>0</v>
      </c>
      <c r="LW27">
        <v>2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1</v>
      </c>
      <c r="MU27">
        <v>0</v>
      </c>
      <c r="MV27">
        <v>1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3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3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1</v>
      </c>
      <c r="OT27">
        <v>1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2</v>
      </c>
      <c r="PR27">
        <v>0</v>
      </c>
      <c r="PS27">
        <v>0</v>
      </c>
      <c r="PT27">
        <v>0</v>
      </c>
      <c r="PU27">
        <v>0</v>
      </c>
      <c r="PV27">
        <v>1</v>
      </c>
      <c r="PW27">
        <v>1</v>
      </c>
      <c r="PX27">
        <v>0</v>
      </c>
      <c r="PY27">
        <v>0</v>
      </c>
      <c r="PZ27">
        <v>0</v>
      </c>
      <c r="QA27">
        <v>1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1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2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</row>
    <row r="28" spans="2:467" x14ac:dyDescent="0.4">
      <c r="B28" t="str">
        <f>"9784041126790"</f>
        <v>9784041126790</v>
      </c>
      <c r="C28" t="s">
        <v>594</v>
      </c>
      <c r="D28" t="s">
        <v>595</v>
      </c>
      <c r="E28" t="s">
        <v>596</v>
      </c>
      <c r="G28" t="s">
        <v>597</v>
      </c>
      <c r="H28" t="str">
        <f>"0193"</f>
        <v>0193</v>
      </c>
      <c r="I28" t="s">
        <v>481</v>
      </c>
      <c r="J28" t="s">
        <v>487</v>
      </c>
      <c r="K28" t="s">
        <v>488</v>
      </c>
      <c r="L28" s="1">
        <v>44797</v>
      </c>
      <c r="M28">
        <v>680</v>
      </c>
      <c r="N28" t="str">
        <f>"913.6"</f>
        <v>913.6</v>
      </c>
      <c r="P28">
        <v>63</v>
      </c>
      <c r="Q28">
        <v>43</v>
      </c>
      <c r="R28">
        <v>0</v>
      </c>
      <c r="S28">
        <v>1</v>
      </c>
      <c r="T28">
        <v>2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2</v>
      </c>
      <c r="BC28">
        <v>0</v>
      </c>
      <c r="BD28">
        <v>0</v>
      </c>
      <c r="BE28">
        <v>1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4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2</v>
      </c>
      <c r="CI28">
        <v>3</v>
      </c>
      <c r="CJ28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1</v>
      </c>
      <c r="CY28">
        <v>0</v>
      </c>
      <c r="CZ28">
        <v>0</v>
      </c>
      <c r="DA28">
        <v>0</v>
      </c>
      <c r="DB28">
        <v>3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1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2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1</v>
      </c>
      <c r="EI28">
        <v>0</v>
      </c>
      <c r="EJ28">
        <v>0</v>
      </c>
      <c r="EK28">
        <v>0</v>
      </c>
      <c r="EL28">
        <v>0</v>
      </c>
      <c r="EM28">
        <v>1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1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3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1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1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1</v>
      </c>
      <c r="HZ28">
        <v>0</v>
      </c>
      <c r="IA28">
        <v>0</v>
      </c>
      <c r="IB28">
        <v>1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1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1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2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1</v>
      </c>
      <c r="JQ28">
        <v>0</v>
      </c>
      <c r="JR28">
        <v>1</v>
      </c>
      <c r="JS28">
        <v>0</v>
      </c>
      <c r="JT28">
        <v>0</v>
      </c>
      <c r="JU28">
        <v>0</v>
      </c>
      <c r="JV28">
        <v>0</v>
      </c>
      <c r="JW28">
        <v>1</v>
      </c>
      <c r="JX28">
        <v>0</v>
      </c>
      <c r="JY28">
        <v>0</v>
      </c>
      <c r="JZ28">
        <v>2</v>
      </c>
      <c r="KA28">
        <v>0</v>
      </c>
      <c r="KB28">
        <v>2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2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1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1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2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1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2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1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1</v>
      </c>
      <c r="PU28">
        <v>0</v>
      </c>
      <c r="PV28">
        <v>0</v>
      </c>
      <c r="PW28">
        <v>1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1</v>
      </c>
      <c r="QJ28">
        <v>0</v>
      </c>
      <c r="QK28">
        <v>1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2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</row>
    <row r="29" spans="2:467" x14ac:dyDescent="0.4">
      <c r="B29" t="str">
        <f>"9784480511430"</f>
        <v>9784480511430</v>
      </c>
      <c r="C29" t="s">
        <v>605</v>
      </c>
      <c r="D29" t="s">
        <v>606</v>
      </c>
      <c r="E29" t="s">
        <v>607</v>
      </c>
      <c r="G29" t="s">
        <v>501</v>
      </c>
      <c r="H29" t="str">
        <f>"0131"</f>
        <v>0131</v>
      </c>
      <c r="I29" t="s">
        <v>481</v>
      </c>
      <c r="J29" t="s">
        <v>487</v>
      </c>
      <c r="K29" t="s">
        <v>502</v>
      </c>
      <c r="L29" s="1">
        <v>44904</v>
      </c>
      <c r="M29">
        <v>1600</v>
      </c>
      <c r="N29" t="str">
        <f>"133.2"</f>
        <v>133.2</v>
      </c>
      <c r="P29">
        <v>61</v>
      </c>
      <c r="Q29">
        <v>42</v>
      </c>
      <c r="R29">
        <v>0</v>
      </c>
      <c r="S29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1</v>
      </c>
      <c r="BH29">
        <v>0</v>
      </c>
      <c r="BI29">
        <v>0</v>
      </c>
      <c r="BJ29">
        <v>0</v>
      </c>
      <c r="BK29">
        <v>0</v>
      </c>
      <c r="BL29">
        <v>1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3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1</v>
      </c>
      <c r="CR29">
        <v>0</v>
      </c>
      <c r="CS29">
        <v>1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1</v>
      </c>
      <c r="DC29">
        <v>4</v>
      </c>
      <c r="DD29">
        <v>0</v>
      </c>
      <c r="DE29">
        <v>0</v>
      </c>
      <c r="DF29">
        <v>1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2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2</v>
      </c>
      <c r="EG29">
        <v>0</v>
      </c>
      <c r="EH29">
        <v>1</v>
      </c>
      <c r="EI29">
        <v>0</v>
      </c>
      <c r="EJ29">
        <v>0</v>
      </c>
      <c r="EK29">
        <v>0</v>
      </c>
      <c r="EL29">
        <v>0</v>
      </c>
      <c r="EM29">
        <v>1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1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1</v>
      </c>
      <c r="FB29">
        <v>0</v>
      </c>
      <c r="FC29">
        <v>0</v>
      </c>
      <c r="FD29">
        <v>0</v>
      </c>
      <c r="FE29">
        <v>1</v>
      </c>
      <c r="FF29">
        <v>0</v>
      </c>
      <c r="FG29">
        <v>0</v>
      </c>
      <c r="FH29">
        <v>1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1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3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</v>
      </c>
      <c r="GZ29">
        <v>0</v>
      </c>
      <c r="HA29">
        <v>1</v>
      </c>
      <c r="HB29">
        <v>0</v>
      </c>
      <c r="HC29">
        <v>1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2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2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1</v>
      </c>
      <c r="IC29">
        <v>0</v>
      </c>
      <c r="ID29">
        <v>1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1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4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2</v>
      </c>
      <c r="JN29">
        <v>0</v>
      </c>
      <c r="JO29">
        <v>0</v>
      </c>
      <c r="JP29">
        <v>0</v>
      </c>
      <c r="JQ29">
        <v>2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1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1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3</v>
      </c>
      <c r="LX29">
        <v>0</v>
      </c>
      <c r="LY29">
        <v>0</v>
      </c>
      <c r="LZ29">
        <v>1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1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1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1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1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2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1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</row>
    <row r="30" spans="2:467" hidden="1" x14ac:dyDescent="0.4">
      <c r="B30" t="str">
        <f>"9784004319511"</f>
        <v>9784004319511</v>
      </c>
      <c r="C30" t="s">
        <v>615</v>
      </c>
      <c r="D30" t="s">
        <v>616</v>
      </c>
      <c r="E30" t="s">
        <v>617</v>
      </c>
      <c r="G30" t="s">
        <v>521</v>
      </c>
      <c r="H30" t="str">
        <f>"0233"</f>
        <v>0233</v>
      </c>
      <c r="I30" t="s">
        <v>481</v>
      </c>
      <c r="J30" t="s">
        <v>482</v>
      </c>
      <c r="K30" t="s">
        <v>537</v>
      </c>
      <c r="L30" s="1">
        <v>44916</v>
      </c>
      <c r="M30">
        <v>880</v>
      </c>
      <c r="N30" t="str">
        <f>"332.107"</f>
        <v>332.107</v>
      </c>
      <c r="P30">
        <v>57</v>
      </c>
      <c r="Q30">
        <v>42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2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1</v>
      </c>
      <c r="CZ30">
        <v>0</v>
      </c>
      <c r="DA30">
        <v>0</v>
      </c>
      <c r="DB30">
        <v>0</v>
      </c>
      <c r="DC30">
        <v>3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1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2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1</v>
      </c>
      <c r="EG30">
        <v>0</v>
      </c>
      <c r="EH30">
        <v>1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1</v>
      </c>
      <c r="FL30">
        <v>0</v>
      </c>
      <c r="FM30">
        <v>0</v>
      </c>
      <c r="FN30">
        <v>0</v>
      </c>
      <c r="FO30">
        <v>2</v>
      </c>
      <c r="FP30">
        <v>0</v>
      </c>
      <c r="FQ30">
        <v>0</v>
      </c>
      <c r="FR30">
        <v>0</v>
      </c>
      <c r="FS30">
        <v>0</v>
      </c>
      <c r="FT30">
        <v>2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1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2</v>
      </c>
      <c r="HD30">
        <v>0</v>
      </c>
      <c r="HE30">
        <v>0</v>
      </c>
      <c r="HF30">
        <v>1</v>
      </c>
      <c r="HG30">
        <v>0</v>
      </c>
      <c r="HH30">
        <v>0</v>
      </c>
      <c r="HI30">
        <v>0</v>
      </c>
      <c r="HJ30">
        <v>0</v>
      </c>
      <c r="HK30">
        <v>1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1</v>
      </c>
      <c r="IP30">
        <v>0</v>
      </c>
      <c r="IQ30">
        <v>2</v>
      </c>
      <c r="IR30">
        <v>0</v>
      </c>
      <c r="IS30">
        <v>0</v>
      </c>
      <c r="IT30">
        <v>1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5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1</v>
      </c>
      <c r="JN30">
        <v>0</v>
      </c>
      <c r="JO30">
        <v>1</v>
      </c>
      <c r="JP30">
        <v>0</v>
      </c>
      <c r="JQ30">
        <v>0</v>
      </c>
      <c r="JR30">
        <v>2</v>
      </c>
      <c r="JS30">
        <v>0</v>
      </c>
      <c r="JT30">
        <v>0</v>
      </c>
      <c r="JU30">
        <v>1</v>
      </c>
      <c r="JV30">
        <v>0</v>
      </c>
      <c r="JW30">
        <v>0</v>
      </c>
      <c r="JX30">
        <v>0</v>
      </c>
      <c r="JY30">
        <v>1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1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1</v>
      </c>
      <c r="LT30">
        <v>0</v>
      </c>
      <c r="LU30">
        <v>0</v>
      </c>
      <c r="LV30">
        <v>0</v>
      </c>
      <c r="LW30">
        <v>1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1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1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3</v>
      </c>
      <c r="OL30">
        <v>0</v>
      </c>
      <c r="OM30">
        <v>1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1</v>
      </c>
      <c r="OT30">
        <v>1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1</v>
      </c>
      <c r="PU30">
        <v>0</v>
      </c>
      <c r="PV30">
        <v>1</v>
      </c>
      <c r="PW30">
        <v>1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1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1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</row>
    <row r="31" spans="2:467" hidden="1" x14ac:dyDescent="0.4">
      <c r="B31" t="str">
        <f>"9784480684448"</f>
        <v>9784480684448</v>
      </c>
      <c r="C31" t="s">
        <v>679</v>
      </c>
      <c r="D31" t="s">
        <v>680</v>
      </c>
      <c r="E31">
        <v>419</v>
      </c>
      <c r="G31" t="s">
        <v>501</v>
      </c>
      <c r="H31" t="str">
        <f>"0200"</f>
        <v>0200</v>
      </c>
      <c r="I31" t="s">
        <v>481</v>
      </c>
      <c r="J31" t="s">
        <v>482</v>
      </c>
      <c r="K31" t="s">
        <v>549</v>
      </c>
      <c r="L31" s="1">
        <v>44933</v>
      </c>
      <c r="M31">
        <v>800</v>
      </c>
      <c r="N31" t="str">
        <f>"016.219"</f>
        <v>016.219</v>
      </c>
      <c r="P31">
        <v>47</v>
      </c>
      <c r="Q31">
        <v>42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1</v>
      </c>
      <c r="BC31">
        <v>0</v>
      </c>
      <c r="BD31">
        <v>0</v>
      </c>
      <c r="BE31">
        <v>0</v>
      </c>
      <c r="BF31">
        <v>0</v>
      </c>
      <c r="BG31">
        <v>1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1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1</v>
      </c>
      <c r="CD31">
        <v>0</v>
      </c>
      <c r="CE31">
        <v>0</v>
      </c>
      <c r="CF31">
        <v>0</v>
      </c>
      <c r="CG31">
        <v>0</v>
      </c>
      <c r="CH31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2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1</v>
      </c>
      <c r="CY31">
        <v>1</v>
      </c>
      <c r="CZ31">
        <v>0</v>
      </c>
      <c r="DA31">
        <v>0</v>
      </c>
      <c r="DB31">
        <v>1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1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1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1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1</v>
      </c>
      <c r="GO31">
        <v>0</v>
      </c>
      <c r="GP31">
        <v>0</v>
      </c>
      <c r="GQ31">
        <v>0</v>
      </c>
      <c r="GR31">
        <v>1</v>
      </c>
      <c r="GS31">
        <v>0</v>
      </c>
      <c r="GT31">
        <v>0</v>
      </c>
      <c r="GU31">
        <v>0</v>
      </c>
      <c r="GV31">
        <v>0</v>
      </c>
      <c r="GW31">
        <v>1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1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1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1</v>
      </c>
      <c r="HW31">
        <v>0</v>
      </c>
      <c r="HX31">
        <v>0</v>
      </c>
      <c r="HY31">
        <v>1</v>
      </c>
      <c r="HZ31">
        <v>0</v>
      </c>
      <c r="IA31">
        <v>0</v>
      </c>
      <c r="IB31">
        <v>0</v>
      </c>
      <c r="IC31">
        <v>0</v>
      </c>
      <c r="ID31">
        <v>2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1</v>
      </c>
      <c r="IU31">
        <v>0</v>
      </c>
      <c r="IV31">
        <v>0</v>
      </c>
      <c r="IW31">
        <v>0</v>
      </c>
      <c r="IX31">
        <v>0</v>
      </c>
      <c r="IY31">
        <v>1</v>
      </c>
      <c r="IZ31">
        <v>0</v>
      </c>
      <c r="JA31">
        <v>0</v>
      </c>
      <c r="JB31">
        <v>0</v>
      </c>
      <c r="JC31">
        <v>1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1</v>
      </c>
      <c r="JN31">
        <v>0</v>
      </c>
      <c r="JO31">
        <v>0</v>
      </c>
      <c r="JP31">
        <v>0</v>
      </c>
      <c r="JQ31">
        <v>0</v>
      </c>
      <c r="JR31">
        <v>1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1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1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1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1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2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1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2</v>
      </c>
      <c r="NZ31">
        <v>0</v>
      </c>
      <c r="OA31">
        <v>0</v>
      </c>
      <c r="OB31">
        <v>1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1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1</v>
      </c>
      <c r="OT31">
        <v>2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1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1</v>
      </c>
      <c r="QU31">
        <v>0</v>
      </c>
      <c r="QV31">
        <v>0</v>
      </c>
      <c r="QW31">
        <v>0</v>
      </c>
      <c r="QX31">
        <v>0</v>
      </c>
      <c r="QY31">
        <v>0</v>
      </c>
    </row>
    <row r="32" spans="2:467" x14ac:dyDescent="0.4">
      <c r="B32" t="str">
        <f>"9784480020475"</f>
        <v>9784480020475</v>
      </c>
      <c r="C32" t="s">
        <v>582</v>
      </c>
      <c r="D32" t="s">
        <v>583</v>
      </c>
      <c r="E32" t="s">
        <v>584</v>
      </c>
      <c r="G32" t="s">
        <v>501</v>
      </c>
      <c r="H32" t="str">
        <f>"0110"</f>
        <v>0110</v>
      </c>
      <c r="I32" t="s">
        <v>481</v>
      </c>
      <c r="J32" t="s">
        <v>487</v>
      </c>
      <c r="K32" t="s">
        <v>483</v>
      </c>
      <c r="L32" s="1">
        <v>39669</v>
      </c>
      <c r="M32">
        <v>520</v>
      </c>
      <c r="N32" t="str">
        <f>"141.5"</f>
        <v>141.5</v>
      </c>
      <c r="P32">
        <v>65</v>
      </c>
      <c r="Q32">
        <v>41</v>
      </c>
      <c r="R32">
        <v>0</v>
      </c>
      <c r="S32">
        <v>0</v>
      </c>
      <c r="T32">
        <v>0</v>
      </c>
      <c r="U32">
        <v>0</v>
      </c>
      <c r="V32">
        <v>0</v>
      </c>
      <c r="W32">
        <v>7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1</v>
      </c>
      <c r="BJ32">
        <v>0</v>
      </c>
      <c r="BK32">
        <v>0</v>
      </c>
      <c r="BL32">
        <v>1</v>
      </c>
      <c r="BM32">
        <v>1</v>
      </c>
      <c r="BN32">
        <v>0</v>
      </c>
      <c r="BO32">
        <v>0</v>
      </c>
      <c r="BP32">
        <v>0</v>
      </c>
      <c r="BQ32">
        <v>1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4</v>
      </c>
      <c r="CI32">
        <v>0</v>
      </c>
      <c r="CJ32">
        <v>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3</v>
      </c>
      <c r="CR32">
        <v>0</v>
      </c>
      <c r="CS32">
        <v>0</v>
      </c>
      <c r="CT32">
        <v>3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1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1</v>
      </c>
      <c r="DU32">
        <v>0</v>
      </c>
      <c r="DV32">
        <v>0</v>
      </c>
      <c r="DW32">
        <v>0</v>
      </c>
      <c r="DX32">
        <v>0</v>
      </c>
      <c r="DY32">
        <v>1</v>
      </c>
      <c r="DZ32">
        <v>0</v>
      </c>
      <c r="EA32">
        <v>0</v>
      </c>
      <c r="EB32">
        <v>0</v>
      </c>
      <c r="EC32">
        <v>0</v>
      </c>
      <c r="ED32">
        <v>3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1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1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1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1</v>
      </c>
      <c r="HW32">
        <v>0</v>
      </c>
      <c r="HX32">
        <v>0</v>
      </c>
      <c r="HY32">
        <v>1</v>
      </c>
      <c r="HZ32">
        <v>0</v>
      </c>
      <c r="IA32">
        <v>0</v>
      </c>
      <c r="IB32">
        <v>2</v>
      </c>
      <c r="IC32">
        <v>0</v>
      </c>
      <c r="ID32">
        <v>0</v>
      </c>
      <c r="IE32">
        <v>0</v>
      </c>
      <c r="IF32">
        <v>0</v>
      </c>
      <c r="IG32">
        <v>1</v>
      </c>
      <c r="IH32">
        <v>0</v>
      </c>
      <c r="II32">
        <v>0</v>
      </c>
      <c r="IJ32">
        <v>0</v>
      </c>
      <c r="IK32">
        <v>0</v>
      </c>
      <c r="IL32">
        <v>1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1</v>
      </c>
      <c r="IW32">
        <v>0</v>
      </c>
      <c r="IX32">
        <v>0</v>
      </c>
      <c r="IY32">
        <v>1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5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1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1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1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1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1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3</v>
      </c>
      <c r="NF32">
        <v>0</v>
      </c>
      <c r="NG32">
        <v>0</v>
      </c>
      <c r="NH32">
        <v>0</v>
      </c>
      <c r="NI32">
        <v>1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1</v>
      </c>
      <c r="NZ32">
        <v>0</v>
      </c>
      <c r="OA32">
        <v>0</v>
      </c>
      <c r="OB32">
        <v>1</v>
      </c>
      <c r="OC32">
        <v>0</v>
      </c>
      <c r="OD32">
        <v>0</v>
      </c>
      <c r="OE32">
        <v>2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1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2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1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1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1</v>
      </c>
      <c r="QY32">
        <v>0</v>
      </c>
    </row>
    <row r="33" spans="2:467" x14ac:dyDescent="0.4">
      <c r="B33" t="str">
        <f>"9784480511478"</f>
        <v>9784480511478</v>
      </c>
      <c r="C33" t="s">
        <v>611</v>
      </c>
      <c r="D33" t="s">
        <v>606</v>
      </c>
      <c r="E33" t="s">
        <v>612</v>
      </c>
      <c r="G33" t="s">
        <v>501</v>
      </c>
      <c r="H33" t="str">
        <f>"0131"</f>
        <v>0131</v>
      </c>
      <c r="I33" t="s">
        <v>481</v>
      </c>
      <c r="J33" t="s">
        <v>487</v>
      </c>
      <c r="K33" t="s">
        <v>502</v>
      </c>
      <c r="L33" s="1">
        <v>44904</v>
      </c>
      <c r="M33">
        <v>1700</v>
      </c>
      <c r="N33" t="str">
        <f>"133.2"</f>
        <v>133.2</v>
      </c>
      <c r="P33">
        <v>58</v>
      </c>
      <c r="Q33">
        <v>41</v>
      </c>
      <c r="R33">
        <v>0</v>
      </c>
      <c r="S3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1</v>
      </c>
      <c r="BH33">
        <v>0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1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2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1</v>
      </c>
      <c r="CR33">
        <v>0</v>
      </c>
      <c r="CS33">
        <v>1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4</v>
      </c>
      <c r="DD33">
        <v>0</v>
      </c>
      <c r="DE33">
        <v>0</v>
      </c>
      <c r="DF33">
        <v>1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2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2</v>
      </c>
      <c r="EG33">
        <v>0</v>
      </c>
      <c r="EH33">
        <v>1</v>
      </c>
      <c r="EI33">
        <v>0</v>
      </c>
      <c r="EJ33">
        <v>0</v>
      </c>
      <c r="EK33">
        <v>0</v>
      </c>
      <c r="EL33">
        <v>0</v>
      </c>
      <c r="EM33">
        <v>1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1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1</v>
      </c>
      <c r="FB33">
        <v>0</v>
      </c>
      <c r="FC33">
        <v>0</v>
      </c>
      <c r="FD33">
        <v>0</v>
      </c>
      <c r="FE33">
        <v>1</v>
      </c>
      <c r="FF33">
        <v>0</v>
      </c>
      <c r="FG33">
        <v>0</v>
      </c>
      <c r="FH33">
        <v>1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1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3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1</v>
      </c>
      <c r="GZ33">
        <v>0</v>
      </c>
      <c r="HA33">
        <v>1</v>
      </c>
      <c r="HB33">
        <v>0</v>
      </c>
      <c r="HC33">
        <v>1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2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2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1</v>
      </c>
      <c r="IC33">
        <v>0</v>
      </c>
      <c r="ID33">
        <v>1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1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4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2</v>
      </c>
      <c r="JN33">
        <v>0</v>
      </c>
      <c r="JO33">
        <v>0</v>
      </c>
      <c r="JP33">
        <v>0</v>
      </c>
      <c r="JQ33">
        <v>2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1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1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2</v>
      </c>
      <c r="LX33">
        <v>0</v>
      </c>
      <c r="LY33">
        <v>0</v>
      </c>
      <c r="LZ33">
        <v>1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1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1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1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2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1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</row>
    <row r="34" spans="2:467" x14ac:dyDescent="0.4">
      <c r="B34" t="str">
        <f>"9784167911300"</f>
        <v>9784167911300</v>
      </c>
      <c r="C34" t="s">
        <v>636</v>
      </c>
      <c r="D34" t="s">
        <v>637</v>
      </c>
      <c r="E34" t="s">
        <v>638</v>
      </c>
      <c r="G34" t="s">
        <v>639</v>
      </c>
      <c r="H34" t="str">
        <f>"0193"</f>
        <v>0193</v>
      </c>
      <c r="I34" t="s">
        <v>481</v>
      </c>
      <c r="J34" t="s">
        <v>487</v>
      </c>
      <c r="K34" t="s">
        <v>488</v>
      </c>
      <c r="L34" s="1">
        <v>43347</v>
      </c>
      <c r="M34">
        <v>600</v>
      </c>
      <c r="N34" t="str">
        <f>"913.6"</f>
        <v>913.6</v>
      </c>
      <c r="P34">
        <v>52</v>
      </c>
      <c r="Q34">
        <v>41</v>
      </c>
      <c r="R34">
        <v>0</v>
      </c>
      <c r="S34">
        <v>0</v>
      </c>
      <c r="T34">
        <v>1</v>
      </c>
      <c r="U34">
        <v>0</v>
      </c>
      <c r="V34">
        <v>0</v>
      </c>
      <c r="W34">
        <v>1</v>
      </c>
      <c r="X34">
        <v>1</v>
      </c>
      <c r="Y34">
        <v>1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2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1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1</v>
      </c>
      <c r="DD34">
        <v>0</v>
      </c>
      <c r="DE34">
        <v>0</v>
      </c>
      <c r="DF34">
        <v>1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2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1</v>
      </c>
      <c r="FP34">
        <v>0</v>
      </c>
      <c r="FQ34">
        <v>0</v>
      </c>
      <c r="FR34">
        <v>1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1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1</v>
      </c>
      <c r="GJ34">
        <v>0</v>
      </c>
      <c r="GK34">
        <v>0</v>
      </c>
      <c r="GL34">
        <v>0</v>
      </c>
      <c r="GM34">
        <v>0</v>
      </c>
      <c r="GN34">
        <v>1</v>
      </c>
      <c r="GO34">
        <v>0</v>
      </c>
      <c r="GP34">
        <v>0</v>
      </c>
      <c r="GQ34">
        <v>1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1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1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1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1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2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2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2</v>
      </c>
      <c r="JN34">
        <v>0</v>
      </c>
      <c r="JO34">
        <v>0</v>
      </c>
      <c r="JP34">
        <v>1</v>
      </c>
      <c r="JQ34">
        <v>5</v>
      </c>
      <c r="JR34">
        <v>1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3</v>
      </c>
      <c r="KC34">
        <v>0</v>
      </c>
      <c r="KD34">
        <v>0</v>
      </c>
      <c r="KE34">
        <v>0</v>
      </c>
      <c r="KF34">
        <v>1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1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1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1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1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1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1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1</v>
      </c>
      <c r="PL34">
        <v>0</v>
      </c>
      <c r="PM34">
        <v>1</v>
      </c>
      <c r="PN34">
        <v>0</v>
      </c>
      <c r="PO34">
        <v>1</v>
      </c>
      <c r="PP34">
        <v>0</v>
      </c>
      <c r="PQ34">
        <v>0</v>
      </c>
      <c r="PR34">
        <v>0</v>
      </c>
      <c r="PS34">
        <v>1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1</v>
      </c>
      <c r="QH34">
        <v>0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</row>
    <row r="35" spans="2:467" hidden="1" x14ac:dyDescent="0.4">
      <c r="B35" t="str">
        <f>"9784121027351"</f>
        <v>9784121027351</v>
      </c>
      <c r="C35" t="s">
        <v>643</v>
      </c>
      <c r="D35" t="s">
        <v>644</v>
      </c>
      <c r="E35">
        <v>2735</v>
      </c>
      <c r="G35" t="s">
        <v>540</v>
      </c>
      <c r="H35" t="str">
        <f>"1245"</f>
        <v>1245</v>
      </c>
      <c r="I35" t="s">
        <v>541</v>
      </c>
      <c r="J35" t="s">
        <v>482</v>
      </c>
      <c r="K35" t="s">
        <v>593</v>
      </c>
      <c r="L35" s="1">
        <v>44944</v>
      </c>
      <c r="M35">
        <v>840</v>
      </c>
      <c r="N35" t="str">
        <f>"462.199"</f>
        <v>462.199</v>
      </c>
      <c r="P35">
        <v>52</v>
      </c>
      <c r="Q35">
        <v>41</v>
      </c>
      <c r="R35">
        <v>0</v>
      </c>
      <c r="S35">
        <v>2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1</v>
      </c>
      <c r="BH35">
        <v>0</v>
      </c>
      <c r="BI35">
        <v>0</v>
      </c>
      <c r="BJ35">
        <v>0</v>
      </c>
      <c r="BK35">
        <v>0</v>
      </c>
      <c r="BL35">
        <v>2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</v>
      </c>
      <c r="BS35">
        <v>1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2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6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1</v>
      </c>
      <c r="CZ35">
        <v>0</v>
      </c>
      <c r="DA35">
        <v>0</v>
      </c>
      <c r="DB35">
        <v>3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1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2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1</v>
      </c>
      <c r="GY35">
        <v>0</v>
      </c>
      <c r="GZ35">
        <v>0</v>
      </c>
      <c r="HA35">
        <v>0</v>
      </c>
      <c r="HB35">
        <v>0</v>
      </c>
      <c r="HC35">
        <v>1</v>
      </c>
      <c r="HD35">
        <v>0</v>
      </c>
      <c r="HE35">
        <v>0</v>
      </c>
      <c r="HF35">
        <v>1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1</v>
      </c>
      <c r="HV35">
        <v>1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1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1</v>
      </c>
      <c r="IU35">
        <v>0</v>
      </c>
      <c r="IV35">
        <v>0</v>
      </c>
      <c r="IW35">
        <v>0</v>
      </c>
      <c r="IX35">
        <v>0</v>
      </c>
      <c r="IY35">
        <v>1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1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1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1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1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1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1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1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1</v>
      </c>
      <c r="OT35">
        <v>0</v>
      </c>
      <c r="OU35">
        <v>1</v>
      </c>
      <c r="OV35">
        <v>0</v>
      </c>
      <c r="OW35">
        <v>1</v>
      </c>
      <c r="OX35">
        <v>0</v>
      </c>
      <c r="OY35">
        <v>0</v>
      </c>
      <c r="OZ35">
        <v>1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1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1</v>
      </c>
      <c r="PU35">
        <v>0</v>
      </c>
      <c r="PV35">
        <v>1</v>
      </c>
      <c r="PW35">
        <v>0</v>
      </c>
      <c r="PX35">
        <v>0</v>
      </c>
      <c r="PY35">
        <v>0</v>
      </c>
      <c r="PZ35">
        <v>0</v>
      </c>
      <c r="QA35">
        <v>1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1</v>
      </c>
      <c r="QP35">
        <v>0</v>
      </c>
      <c r="QQ35">
        <v>1</v>
      </c>
      <c r="QR35">
        <v>0</v>
      </c>
      <c r="QS35">
        <v>0</v>
      </c>
      <c r="QT35">
        <v>1</v>
      </c>
      <c r="QU35">
        <v>0</v>
      </c>
      <c r="QV35">
        <v>0</v>
      </c>
      <c r="QW35">
        <v>0</v>
      </c>
      <c r="QX35">
        <v>0</v>
      </c>
      <c r="QY35">
        <v>0</v>
      </c>
    </row>
    <row r="36" spans="2:467" hidden="1" x14ac:dyDescent="0.4">
      <c r="B36" t="str">
        <f>"9784334046408"</f>
        <v>9784334046408</v>
      </c>
      <c r="C36" t="s">
        <v>674</v>
      </c>
      <c r="D36" t="s">
        <v>675</v>
      </c>
      <c r="E36">
        <v>1233</v>
      </c>
      <c r="G36" t="s">
        <v>676</v>
      </c>
      <c r="H36" t="str">
        <f>"0295"</f>
        <v>0295</v>
      </c>
      <c r="I36" t="s">
        <v>481</v>
      </c>
      <c r="J36" t="s">
        <v>482</v>
      </c>
      <c r="K36" t="s">
        <v>509</v>
      </c>
      <c r="L36" s="1">
        <v>44908</v>
      </c>
      <c r="M36">
        <v>900</v>
      </c>
      <c r="N36" t="str">
        <f>"910.2"</f>
        <v>910.2</v>
      </c>
      <c r="P36">
        <v>47</v>
      </c>
      <c r="Q36">
        <v>40</v>
      </c>
      <c r="R36">
        <v>0</v>
      </c>
      <c r="S36">
        <v>0</v>
      </c>
      <c r="T36">
        <v>0</v>
      </c>
      <c r="U36">
        <v>0</v>
      </c>
      <c r="V36">
        <v>0</v>
      </c>
      <c r="W36">
        <v>1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1</v>
      </c>
      <c r="BM36">
        <v>0</v>
      </c>
      <c r="BN36">
        <v>1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</v>
      </c>
      <c r="CA36">
        <v>0</v>
      </c>
      <c r="CB36">
        <v>0</v>
      </c>
      <c r="CC36">
        <v>1</v>
      </c>
      <c r="CD36">
        <v>0</v>
      </c>
      <c r="CE36">
        <v>0</v>
      </c>
      <c r="CF36">
        <v>0</v>
      </c>
      <c r="CG36">
        <v>0</v>
      </c>
      <c r="CH36">
        <v>3</v>
      </c>
      <c r="CI36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1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1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1</v>
      </c>
      <c r="FE36">
        <v>1</v>
      </c>
      <c r="FF36">
        <v>0</v>
      </c>
      <c r="FG36">
        <v>0</v>
      </c>
      <c r="FH36">
        <v>1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1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2</v>
      </c>
      <c r="GJ36">
        <v>0</v>
      </c>
      <c r="GK36">
        <v>0</v>
      </c>
      <c r="GL36">
        <v>0</v>
      </c>
      <c r="GM36">
        <v>0</v>
      </c>
      <c r="GN36">
        <v>1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1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2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1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2</v>
      </c>
      <c r="JG36">
        <v>1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1</v>
      </c>
      <c r="JN36">
        <v>0</v>
      </c>
      <c r="JO36">
        <v>0</v>
      </c>
      <c r="JP36">
        <v>0</v>
      </c>
      <c r="JQ36">
        <v>2</v>
      </c>
      <c r="JR36">
        <v>1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1</v>
      </c>
      <c r="KD36">
        <v>0</v>
      </c>
      <c r="KE36">
        <v>0</v>
      </c>
      <c r="KF36">
        <v>0</v>
      </c>
      <c r="KG36">
        <v>1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1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1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1</v>
      </c>
      <c r="LW36">
        <v>1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1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1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2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1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1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1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1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1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</row>
    <row r="37" spans="2:467" hidden="1" x14ac:dyDescent="0.4">
      <c r="B37" t="str">
        <f>"9784065303856"</f>
        <v>9784065303856</v>
      </c>
      <c r="C37" t="s">
        <v>671</v>
      </c>
      <c r="D37" t="s">
        <v>672</v>
      </c>
      <c r="E37" t="s">
        <v>673</v>
      </c>
      <c r="G37" t="s">
        <v>548</v>
      </c>
      <c r="H37" t="str">
        <f>"0242"</f>
        <v>0242</v>
      </c>
      <c r="I37" t="s">
        <v>481</v>
      </c>
      <c r="J37" t="s">
        <v>482</v>
      </c>
      <c r="K37" t="s">
        <v>545</v>
      </c>
      <c r="L37" s="1">
        <v>44909</v>
      </c>
      <c r="M37">
        <v>1000</v>
      </c>
      <c r="N37" t="str">
        <f>"421.3"</f>
        <v>421.3</v>
      </c>
      <c r="P37">
        <v>48</v>
      </c>
      <c r="Q37">
        <v>39</v>
      </c>
      <c r="R37">
        <v>0</v>
      </c>
      <c r="S37">
        <v>0</v>
      </c>
      <c r="T37">
        <v>0</v>
      </c>
      <c r="U37">
        <v>1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3</v>
      </c>
      <c r="CI37">
        <v>1</v>
      </c>
      <c r="CJ37">
        <v>0</v>
      </c>
      <c r="CK37">
        <v>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1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1</v>
      </c>
      <c r="DM37">
        <v>1</v>
      </c>
      <c r="DN37">
        <v>0</v>
      </c>
      <c r="DO37">
        <v>1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1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2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1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1</v>
      </c>
      <c r="FW37">
        <v>0</v>
      </c>
      <c r="FX37">
        <v>0</v>
      </c>
      <c r="FY37">
        <v>1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1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1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1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2</v>
      </c>
      <c r="JC37">
        <v>0</v>
      </c>
      <c r="JD37">
        <v>0</v>
      </c>
      <c r="JE37">
        <v>0</v>
      </c>
      <c r="JF37">
        <v>3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1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1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1</v>
      </c>
      <c r="LS37">
        <v>0</v>
      </c>
      <c r="LT37">
        <v>0</v>
      </c>
      <c r="LU37">
        <v>0</v>
      </c>
      <c r="LV37">
        <v>0</v>
      </c>
      <c r="LW37">
        <v>1</v>
      </c>
      <c r="LX37">
        <v>1</v>
      </c>
      <c r="LY37">
        <v>0</v>
      </c>
      <c r="LZ37">
        <v>1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1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1</v>
      </c>
      <c r="ND37">
        <v>0</v>
      </c>
      <c r="NE37">
        <v>1</v>
      </c>
      <c r="NF37">
        <v>1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1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1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2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2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2</v>
      </c>
      <c r="QU37">
        <v>0</v>
      </c>
      <c r="QV37">
        <v>0</v>
      </c>
      <c r="QW37">
        <v>0</v>
      </c>
      <c r="QX37">
        <v>0</v>
      </c>
      <c r="QY37">
        <v>0</v>
      </c>
    </row>
    <row r="38" spans="2:467" hidden="1" x14ac:dyDescent="0.4">
      <c r="B38" t="str">
        <f>"9784121027337"</f>
        <v>9784121027337</v>
      </c>
      <c r="C38" t="s">
        <v>645</v>
      </c>
      <c r="D38" t="s">
        <v>646</v>
      </c>
      <c r="E38">
        <v>2733</v>
      </c>
      <c r="G38" t="s">
        <v>540</v>
      </c>
      <c r="H38" t="str">
        <f>"1221"</f>
        <v>1221</v>
      </c>
      <c r="I38" t="s">
        <v>541</v>
      </c>
      <c r="J38" t="s">
        <v>482</v>
      </c>
      <c r="K38" t="s">
        <v>620</v>
      </c>
      <c r="L38" s="1">
        <v>44914</v>
      </c>
      <c r="M38">
        <v>1000</v>
      </c>
      <c r="N38" t="str">
        <f>"210.76"</f>
        <v>210.76</v>
      </c>
      <c r="P38">
        <v>52</v>
      </c>
      <c r="Q38">
        <v>38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</v>
      </c>
      <c r="AU38">
        <v>0</v>
      </c>
      <c r="AV38">
        <v>2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1</v>
      </c>
      <c r="CI38">
        <v>3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2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1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1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1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1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1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1</v>
      </c>
      <c r="HD38">
        <v>0</v>
      </c>
      <c r="HE38">
        <v>0</v>
      </c>
      <c r="HF38">
        <v>1</v>
      </c>
      <c r="HG38">
        <v>0</v>
      </c>
      <c r="HH38">
        <v>0</v>
      </c>
      <c r="HI38">
        <v>0</v>
      </c>
      <c r="HJ38">
        <v>0</v>
      </c>
      <c r="HK38">
        <v>1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1</v>
      </c>
      <c r="HV38">
        <v>2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2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1</v>
      </c>
      <c r="IU38">
        <v>0</v>
      </c>
      <c r="IV38">
        <v>0</v>
      </c>
      <c r="IW38">
        <v>0</v>
      </c>
      <c r="IX38">
        <v>1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3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2</v>
      </c>
      <c r="JN38">
        <v>0</v>
      </c>
      <c r="JO38">
        <v>0</v>
      </c>
      <c r="JP38">
        <v>0</v>
      </c>
      <c r="JQ38">
        <v>2</v>
      </c>
      <c r="JR38">
        <v>0</v>
      </c>
      <c r="JS38">
        <v>0</v>
      </c>
      <c r="JT38">
        <v>0</v>
      </c>
      <c r="JU38">
        <v>1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2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1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1</v>
      </c>
      <c r="LT38">
        <v>0</v>
      </c>
      <c r="LU38">
        <v>0</v>
      </c>
      <c r="LV38">
        <v>0</v>
      </c>
      <c r="LW38">
        <v>1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1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2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1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1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1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2</v>
      </c>
      <c r="PL38">
        <v>0</v>
      </c>
      <c r="PM38">
        <v>1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1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1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</row>
    <row r="39" spans="2:467" x14ac:dyDescent="0.4">
      <c r="B39" t="str">
        <f>"9784101267715"</f>
        <v>9784101267715</v>
      </c>
      <c r="C39" t="s">
        <v>684</v>
      </c>
      <c r="D39" t="s">
        <v>685</v>
      </c>
      <c r="E39" t="s">
        <v>686</v>
      </c>
      <c r="G39" t="s">
        <v>516</v>
      </c>
      <c r="H39" t="str">
        <f>"0193"</f>
        <v>0193</v>
      </c>
      <c r="I39" t="s">
        <v>481</v>
      </c>
      <c r="J39" t="s">
        <v>487</v>
      </c>
      <c r="K39" t="s">
        <v>488</v>
      </c>
      <c r="L39" s="1">
        <v>42206</v>
      </c>
      <c r="M39">
        <v>630</v>
      </c>
      <c r="N39" t="str">
        <f>"913.6"</f>
        <v>913.6</v>
      </c>
      <c r="P39">
        <v>47</v>
      </c>
      <c r="Q39">
        <v>38</v>
      </c>
      <c r="R39">
        <v>0</v>
      </c>
      <c r="S39">
        <v>0</v>
      </c>
      <c r="T39">
        <v>0</v>
      </c>
      <c r="U39">
        <v>0</v>
      </c>
      <c r="V39">
        <v>0</v>
      </c>
      <c r="W39">
        <v>2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4</v>
      </c>
      <c r="BC39">
        <v>0</v>
      </c>
      <c r="BD39">
        <v>1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1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1</v>
      </c>
      <c r="CI39">
        <v>1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1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1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1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1</v>
      </c>
      <c r="FP39">
        <v>1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1</v>
      </c>
      <c r="GJ39">
        <v>0</v>
      </c>
      <c r="GK39">
        <v>0</v>
      </c>
      <c r="GL39">
        <v>0</v>
      </c>
      <c r="GM39">
        <v>0</v>
      </c>
      <c r="GN39">
        <v>2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1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1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1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2</v>
      </c>
      <c r="IM39">
        <v>0</v>
      </c>
      <c r="IN39">
        <v>2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3</v>
      </c>
      <c r="JG39">
        <v>1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1</v>
      </c>
      <c r="JO39">
        <v>0</v>
      </c>
      <c r="JP39">
        <v>0</v>
      </c>
      <c r="JQ39">
        <v>1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1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1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1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1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1</v>
      </c>
      <c r="NE39">
        <v>1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1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1</v>
      </c>
      <c r="OK39">
        <v>0</v>
      </c>
      <c r="OL39">
        <v>0</v>
      </c>
      <c r="OM39">
        <v>1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1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1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1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1</v>
      </c>
      <c r="QL39">
        <v>0</v>
      </c>
      <c r="QM39">
        <v>0</v>
      </c>
      <c r="QN39">
        <v>0</v>
      </c>
      <c r="QO39">
        <v>1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1</v>
      </c>
      <c r="QY39">
        <v>0</v>
      </c>
    </row>
    <row r="40" spans="2:467" x14ac:dyDescent="0.4">
      <c r="B40" t="str">
        <f>"9784480094766"</f>
        <v>9784480094766</v>
      </c>
      <c r="C40" t="s">
        <v>687</v>
      </c>
      <c r="D40" t="s">
        <v>688</v>
      </c>
      <c r="E40" t="s">
        <v>689</v>
      </c>
      <c r="G40" t="s">
        <v>501</v>
      </c>
      <c r="H40" t="str">
        <f>"0131"</f>
        <v>0131</v>
      </c>
      <c r="I40" t="s">
        <v>481</v>
      </c>
      <c r="J40" t="s">
        <v>487</v>
      </c>
      <c r="K40" t="s">
        <v>502</v>
      </c>
      <c r="L40" s="1">
        <v>41131</v>
      </c>
      <c r="M40">
        <v>950</v>
      </c>
      <c r="N40" t="str">
        <f>"313.8"</f>
        <v>313.8</v>
      </c>
      <c r="P40">
        <v>46</v>
      </c>
      <c r="Q40">
        <v>38</v>
      </c>
      <c r="R40">
        <v>0</v>
      </c>
      <c r="S40">
        <v>2</v>
      </c>
      <c r="T40">
        <v>0</v>
      </c>
      <c r="U40">
        <v>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2</v>
      </c>
      <c r="BC40">
        <v>0</v>
      </c>
      <c r="BD40">
        <v>0</v>
      </c>
      <c r="BE40">
        <v>0</v>
      </c>
      <c r="BF40">
        <v>0</v>
      </c>
      <c r="BG40">
        <v>1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1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2</v>
      </c>
      <c r="CI40">
        <v>1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1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2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1</v>
      </c>
      <c r="FU40">
        <v>0</v>
      </c>
      <c r="FV40">
        <v>0</v>
      </c>
      <c r="FW40">
        <v>0</v>
      </c>
      <c r="FX40">
        <v>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1</v>
      </c>
      <c r="GO40">
        <v>0</v>
      </c>
      <c r="GP40">
        <v>0</v>
      </c>
      <c r="GQ40">
        <v>0</v>
      </c>
      <c r="GR40">
        <v>1</v>
      </c>
      <c r="GS40">
        <v>0</v>
      </c>
      <c r="GT40">
        <v>0</v>
      </c>
      <c r="GU40">
        <v>2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1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1</v>
      </c>
      <c r="IC40">
        <v>0</v>
      </c>
      <c r="ID40">
        <v>1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1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1</v>
      </c>
      <c r="JB40">
        <v>0</v>
      </c>
      <c r="JC40">
        <v>0</v>
      </c>
      <c r="JD40">
        <v>0</v>
      </c>
      <c r="JE40">
        <v>0</v>
      </c>
      <c r="JF40">
        <v>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0</v>
      </c>
      <c r="JO40">
        <v>0</v>
      </c>
      <c r="JP40">
        <v>0</v>
      </c>
      <c r="JQ40">
        <v>1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1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1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1</v>
      </c>
      <c r="LS40">
        <v>0</v>
      </c>
      <c r="LT40">
        <v>0</v>
      </c>
      <c r="LU40">
        <v>0</v>
      </c>
      <c r="LV40">
        <v>0</v>
      </c>
      <c r="LW40">
        <v>1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1</v>
      </c>
      <c r="MF40">
        <v>0</v>
      </c>
      <c r="MG40">
        <v>1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1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1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1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1</v>
      </c>
      <c r="OT40">
        <v>1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1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1</v>
      </c>
      <c r="QY40">
        <v>0</v>
      </c>
    </row>
    <row r="41" spans="2:467" x14ac:dyDescent="0.4">
      <c r="B41" t="str">
        <f>"9784480511553"</f>
        <v>9784480511553</v>
      </c>
      <c r="C41" t="s">
        <v>623</v>
      </c>
      <c r="D41" t="s">
        <v>624</v>
      </c>
      <c r="E41" t="s">
        <v>625</v>
      </c>
      <c r="G41" t="s">
        <v>501</v>
      </c>
      <c r="H41" t="str">
        <f>"0112"</f>
        <v>0112</v>
      </c>
      <c r="I41" t="s">
        <v>481</v>
      </c>
      <c r="J41" t="s">
        <v>487</v>
      </c>
      <c r="K41" t="s">
        <v>517</v>
      </c>
      <c r="L41" s="1">
        <v>44937</v>
      </c>
      <c r="M41">
        <v>1300</v>
      </c>
      <c r="N41" t="str">
        <f>"121.04"</f>
        <v>121.04</v>
      </c>
      <c r="P41">
        <v>56</v>
      </c>
      <c r="Q41">
        <v>37</v>
      </c>
      <c r="R41">
        <v>0</v>
      </c>
      <c r="S41">
        <v>1</v>
      </c>
      <c r="T41">
        <v>0</v>
      </c>
      <c r="U41">
        <v>1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1</v>
      </c>
      <c r="BC41">
        <v>0</v>
      </c>
      <c r="BD41">
        <v>0</v>
      </c>
      <c r="BE41">
        <v>0</v>
      </c>
      <c r="BF41">
        <v>0</v>
      </c>
      <c r="BG41">
        <v>1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6</v>
      </c>
      <c r="CI41">
        <v>2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5</v>
      </c>
      <c r="CR41">
        <v>0</v>
      </c>
      <c r="CS41">
        <v>1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1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1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2</v>
      </c>
      <c r="FE41">
        <v>0</v>
      </c>
      <c r="FF41">
        <v>0</v>
      </c>
      <c r="FG41">
        <v>0</v>
      </c>
      <c r="FH41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1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1</v>
      </c>
      <c r="GJ41">
        <v>0</v>
      </c>
      <c r="GK41">
        <v>0</v>
      </c>
      <c r="GL41">
        <v>1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2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1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1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1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1</v>
      </c>
      <c r="IE41">
        <v>0</v>
      </c>
      <c r="IF41">
        <v>1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3</v>
      </c>
      <c r="JG41">
        <v>0</v>
      </c>
      <c r="JH41">
        <v>0</v>
      </c>
      <c r="JI41">
        <v>0</v>
      </c>
      <c r="JJ41">
        <v>2</v>
      </c>
      <c r="JK41">
        <v>0</v>
      </c>
      <c r="JL41">
        <v>0</v>
      </c>
      <c r="JM41">
        <v>2</v>
      </c>
      <c r="JN41">
        <v>1</v>
      </c>
      <c r="JO41">
        <v>0</v>
      </c>
      <c r="JP41">
        <v>0</v>
      </c>
      <c r="JQ41">
        <v>1</v>
      </c>
      <c r="JR41">
        <v>0</v>
      </c>
      <c r="JS41">
        <v>0</v>
      </c>
      <c r="JT41">
        <v>0</v>
      </c>
      <c r="JU41">
        <v>1</v>
      </c>
      <c r="JV41">
        <v>0</v>
      </c>
      <c r="JW41">
        <v>0</v>
      </c>
      <c r="JX41">
        <v>0</v>
      </c>
      <c r="JY41">
        <v>1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1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1</v>
      </c>
      <c r="LS41">
        <v>0</v>
      </c>
      <c r="LT41">
        <v>0</v>
      </c>
      <c r="LU41">
        <v>0</v>
      </c>
      <c r="LV41">
        <v>0</v>
      </c>
      <c r="LW41">
        <v>1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1</v>
      </c>
      <c r="MU41">
        <v>0</v>
      </c>
      <c r="MV41">
        <v>1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4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1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1</v>
      </c>
      <c r="OT41">
        <v>1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</row>
    <row r="42" spans="2:467" hidden="1" x14ac:dyDescent="0.4">
      <c r="B42" t="str">
        <f>"9784065305720"</f>
        <v>9784065305720</v>
      </c>
      <c r="C42" t="s">
        <v>659</v>
      </c>
      <c r="D42" t="s">
        <v>660</v>
      </c>
      <c r="E42" t="s">
        <v>661</v>
      </c>
      <c r="G42" t="s">
        <v>548</v>
      </c>
      <c r="H42" t="str">
        <f>"0245"</f>
        <v>0245</v>
      </c>
      <c r="I42" t="s">
        <v>481</v>
      </c>
      <c r="J42" t="s">
        <v>482</v>
      </c>
      <c r="K42" t="s">
        <v>593</v>
      </c>
      <c r="L42" s="1">
        <v>44944</v>
      </c>
      <c r="M42">
        <v>1100</v>
      </c>
      <c r="N42" t="str">
        <f>"467.3"</f>
        <v>467.3</v>
      </c>
      <c r="P42">
        <v>50</v>
      </c>
      <c r="Q42">
        <v>37</v>
      </c>
      <c r="R42">
        <v>0</v>
      </c>
      <c r="S42">
        <v>2</v>
      </c>
      <c r="T42">
        <v>0</v>
      </c>
      <c r="U42">
        <v>1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</v>
      </c>
      <c r="AM42">
        <v>1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1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1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3</v>
      </c>
      <c r="CI42">
        <v>1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4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3</v>
      </c>
      <c r="DC42">
        <v>1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1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2</v>
      </c>
      <c r="EE42">
        <v>0</v>
      </c>
      <c r="EF42">
        <v>0</v>
      </c>
      <c r="EG42">
        <v>0</v>
      </c>
      <c r="EH42">
        <v>1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1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1</v>
      </c>
      <c r="FZ42">
        <v>0</v>
      </c>
      <c r="GA42">
        <v>0</v>
      </c>
      <c r="GB42">
        <v>0</v>
      </c>
      <c r="GC42">
        <v>1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1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2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1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1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2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2</v>
      </c>
      <c r="JN42">
        <v>0</v>
      </c>
      <c r="JO42">
        <v>0</v>
      </c>
      <c r="JP42">
        <v>0</v>
      </c>
      <c r="JQ42">
        <v>0</v>
      </c>
      <c r="JR42">
        <v>1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1</v>
      </c>
      <c r="NK42">
        <v>0</v>
      </c>
      <c r="NL42">
        <v>1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1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1</v>
      </c>
      <c r="NZ42">
        <v>0</v>
      </c>
      <c r="OA42">
        <v>0</v>
      </c>
      <c r="OB42">
        <v>1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1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0</v>
      </c>
      <c r="PL42">
        <v>0</v>
      </c>
      <c r="PM42">
        <v>2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1</v>
      </c>
      <c r="PU42">
        <v>0</v>
      </c>
      <c r="PV42">
        <v>0</v>
      </c>
      <c r="PW42">
        <v>0</v>
      </c>
      <c r="PX42">
        <v>0</v>
      </c>
      <c r="PY42">
        <v>0</v>
      </c>
      <c r="PZ42">
        <v>0</v>
      </c>
      <c r="QA42">
        <v>0</v>
      </c>
      <c r="QB42">
        <v>1</v>
      </c>
      <c r="QC42">
        <v>0</v>
      </c>
      <c r="QD42">
        <v>0</v>
      </c>
      <c r="QE42">
        <v>0</v>
      </c>
      <c r="QF42">
        <v>0</v>
      </c>
      <c r="QG42">
        <v>0</v>
      </c>
      <c r="QH42">
        <v>0</v>
      </c>
      <c r="QI42">
        <v>0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1</v>
      </c>
      <c r="QU42">
        <v>0</v>
      </c>
      <c r="QV42">
        <v>0</v>
      </c>
      <c r="QW42">
        <v>0</v>
      </c>
      <c r="QX42">
        <v>0</v>
      </c>
      <c r="QY42">
        <v>0</v>
      </c>
    </row>
    <row r="43" spans="2:467" hidden="1" x14ac:dyDescent="0.4">
      <c r="B43" t="str">
        <f>"9784106108822"</f>
        <v>9784106108822</v>
      </c>
      <c r="C43" t="s">
        <v>704</v>
      </c>
      <c r="D43" t="s">
        <v>705</v>
      </c>
      <c r="E43">
        <v>882</v>
      </c>
      <c r="G43" t="s">
        <v>516</v>
      </c>
      <c r="H43" t="str">
        <f>"0247"</f>
        <v>0247</v>
      </c>
      <c r="I43" t="s">
        <v>481</v>
      </c>
      <c r="J43" t="s">
        <v>482</v>
      </c>
      <c r="K43" t="s">
        <v>670</v>
      </c>
      <c r="L43" s="1">
        <v>44152</v>
      </c>
      <c r="M43">
        <v>980</v>
      </c>
      <c r="N43" t="str">
        <f>"491.371"</f>
        <v>491.371</v>
      </c>
      <c r="P43">
        <v>42</v>
      </c>
      <c r="Q43">
        <v>37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2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1</v>
      </c>
      <c r="BH43">
        <v>0</v>
      </c>
      <c r="BI43">
        <v>0</v>
      </c>
      <c r="BJ43">
        <v>1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1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1</v>
      </c>
      <c r="DK43">
        <v>0</v>
      </c>
      <c r="DL43">
        <v>1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1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1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1</v>
      </c>
      <c r="FW43">
        <v>0</v>
      </c>
      <c r="FX43">
        <v>1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2</v>
      </c>
      <c r="GJ43">
        <v>0</v>
      </c>
      <c r="GK43">
        <v>0</v>
      </c>
      <c r="GL43">
        <v>0</v>
      </c>
      <c r="GM43">
        <v>0</v>
      </c>
      <c r="GN43">
        <v>1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1</v>
      </c>
      <c r="HW43">
        <v>0</v>
      </c>
      <c r="HX43">
        <v>0</v>
      </c>
      <c r="HY43">
        <v>1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1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1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1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1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1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1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1</v>
      </c>
      <c r="OH43">
        <v>0</v>
      </c>
      <c r="OI43">
        <v>0</v>
      </c>
      <c r="OJ43">
        <v>0</v>
      </c>
      <c r="OK43">
        <v>1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1</v>
      </c>
      <c r="OT43">
        <v>1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1</v>
      </c>
      <c r="PK43">
        <v>3</v>
      </c>
      <c r="PL43">
        <v>1</v>
      </c>
      <c r="PM43">
        <v>1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1</v>
      </c>
      <c r="QC43">
        <v>0</v>
      </c>
      <c r="QD43">
        <v>0</v>
      </c>
      <c r="QE43">
        <v>0</v>
      </c>
      <c r="QF43">
        <v>0</v>
      </c>
      <c r="QG43">
        <v>1</v>
      </c>
      <c r="QH43">
        <v>0</v>
      </c>
      <c r="QI43">
        <v>0</v>
      </c>
      <c r="QJ43">
        <v>0</v>
      </c>
      <c r="QK43">
        <v>1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1</v>
      </c>
      <c r="QY43">
        <v>0</v>
      </c>
    </row>
    <row r="44" spans="2:467" hidden="1" x14ac:dyDescent="0.4">
      <c r="B44" t="str">
        <f>"9784004319443"</f>
        <v>9784004319443</v>
      </c>
      <c r="C44" t="s">
        <v>587</v>
      </c>
      <c r="D44" t="s">
        <v>514</v>
      </c>
      <c r="E44" t="s">
        <v>588</v>
      </c>
      <c r="G44" t="s">
        <v>521</v>
      </c>
      <c r="H44" t="str">
        <f>"0210"</f>
        <v>0210</v>
      </c>
      <c r="I44" t="s">
        <v>481</v>
      </c>
      <c r="J44" t="s">
        <v>482</v>
      </c>
      <c r="K44" t="s">
        <v>483</v>
      </c>
      <c r="L44" s="1">
        <v>44855</v>
      </c>
      <c r="M44">
        <v>1280</v>
      </c>
      <c r="N44" t="str">
        <f>"135.2"</f>
        <v>135.2</v>
      </c>
      <c r="P44">
        <v>65</v>
      </c>
      <c r="Q44">
        <v>36</v>
      </c>
      <c r="R44">
        <v>0</v>
      </c>
      <c r="S4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1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6</v>
      </c>
      <c r="CI44">
        <v>4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1</v>
      </c>
      <c r="CR44">
        <v>0</v>
      </c>
      <c r="CS44">
        <v>1</v>
      </c>
      <c r="CT44">
        <v>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2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1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2</v>
      </c>
      <c r="DZ44">
        <v>0</v>
      </c>
      <c r="EA44">
        <v>0</v>
      </c>
      <c r="EB44">
        <v>0</v>
      </c>
      <c r="EC44">
        <v>0</v>
      </c>
      <c r="ED44">
        <v>2</v>
      </c>
      <c r="EE44">
        <v>0</v>
      </c>
      <c r="EF44">
        <v>1</v>
      </c>
      <c r="EG44">
        <v>0</v>
      </c>
      <c r="EH44">
        <v>1</v>
      </c>
      <c r="EI44">
        <v>0</v>
      </c>
      <c r="EJ44">
        <v>0</v>
      </c>
      <c r="EK44">
        <v>0</v>
      </c>
      <c r="EL44">
        <v>0</v>
      </c>
      <c r="EM44">
        <v>1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1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2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2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2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1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4</v>
      </c>
      <c r="JG44">
        <v>1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</v>
      </c>
      <c r="JN44">
        <v>0</v>
      </c>
      <c r="JO44">
        <v>0</v>
      </c>
      <c r="JP44">
        <v>1</v>
      </c>
      <c r="JQ44">
        <v>2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1</v>
      </c>
      <c r="KC44">
        <v>0</v>
      </c>
      <c r="KD44">
        <v>0</v>
      </c>
      <c r="KE44">
        <v>1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1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1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2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4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2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2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2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</v>
      </c>
      <c r="PH44">
        <v>0</v>
      </c>
      <c r="PI44">
        <v>0</v>
      </c>
      <c r="PJ44">
        <v>0</v>
      </c>
      <c r="PK44">
        <v>2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4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0</v>
      </c>
      <c r="QT44">
        <v>1</v>
      </c>
      <c r="QU44">
        <v>0</v>
      </c>
      <c r="QV44">
        <v>0</v>
      </c>
      <c r="QW44">
        <v>0</v>
      </c>
      <c r="QX44">
        <v>0</v>
      </c>
      <c r="QY44">
        <v>0</v>
      </c>
    </row>
    <row r="45" spans="2:467" hidden="1" x14ac:dyDescent="0.4">
      <c r="B45" t="str">
        <f>"9784065302507"</f>
        <v>9784065302507</v>
      </c>
      <c r="C45" t="s">
        <v>589</v>
      </c>
      <c r="D45" t="s">
        <v>590</v>
      </c>
      <c r="E45">
        <v>2688</v>
      </c>
      <c r="G45" t="s">
        <v>548</v>
      </c>
      <c r="H45" t="str">
        <f>"0236"</f>
        <v>0236</v>
      </c>
      <c r="I45" t="s">
        <v>481</v>
      </c>
      <c r="J45" t="s">
        <v>482</v>
      </c>
      <c r="K45" t="s">
        <v>505</v>
      </c>
      <c r="L45" s="1">
        <v>44909</v>
      </c>
      <c r="M45">
        <v>920</v>
      </c>
      <c r="N45" t="str">
        <f>"602.1"</f>
        <v>602.1</v>
      </c>
      <c r="P45">
        <v>65</v>
      </c>
      <c r="Q45">
        <v>35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2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4</v>
      </c>
      <c r="CI45">
        <v>2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2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1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1</v>
      </c>
      <c r="DM45">
        <v>0</v>
      </c>
      <c r="DN45">
        <v>0</v>
      </c>
      <c r="DO45">
        <v>1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1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1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1</v>
      </c>
      <c r="GE45">
        <v>0</v>
      </c>
      <c r="GF45">
        <v>1</v>
      </c>
      <c r="GG45">
        <v>0</v>
      </c>
      <c r="GH45">
        <v>0</v>
      </c>
      <c r="GI45">
        <v>4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1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1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2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2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2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3</v>
      </c>
      <c r="JN45">
        <v>0</v>
      </c>
      <c r="JO45">
        <v>0</v>
      </c>
      <c r="JP45">
        <v>0</v>
      </c>
      <c r="JQ45">
        <v>1</v>
      </c>
      <c r="JR45">
        <v>0</v>
      </c>
      <c r="JS45">
        <v>0</v>
      </c>
      <c r="JT45">
        <v>0</v>
      </c>
      <c r="JU45">
        <v>1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1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1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10</v>
      </c>
      <c r="NC45">
        <v>1</v>
      </c>
      <c r="ND45">
        <v>0</v>
      </c>
      <c r="NE45">
        <v>2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1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2</v>
      </c>
      <c r="OC45">
        <v>0</v>
      </c>
      <c r="OD45">
        <v>1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5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2</v>
      </c>
      <c r="OU45">
        <v>0</v>
      </c>
      <c r="OV45">
        <v>0</v>
      </c>
      <c r="OW45">
        <v>0</v>
      </c>
      <c r="OX45">
        <v>0</v>
      </c>
      <c r="OY45">
        <v>0</v>
      </c>
      <c r="OZ45">
        <v>0</v>
      </c>
      <c r="PA45">
        <v>0</v>
      </c>
      <c r="PB45">
        <v>0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0</v>
      </c>
      <c r="PL45">
        <v>0</v>
      </c>
      <c r="PM45">
        <v>0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0</v>
      </c>
      <c r="PT45">
        <v>1</v>
      </c>
      <c r="PU45">
        <v>0</v>
      </c>
      <c r="PV45">
        <v>0</v>
      </c>
      <c r="PW45">
        <v>0</v>
      </c>
      <c r="PX45">
        <v>0</v>
      </c>
      <c r="PY45">
        <v>0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0</v>
      </c>
      <c r="QG45">
        <v>1</v>
      </c>
      <c r="QH45">
        <v>0</v>
      </c>
      <c r="QI45">
        <v>0</v>
      </c>
      <c r="QJ45">
        <v>0</v>
      </c>
      <c r="QK45">
        <v>1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</row>
    <row r="46" spans="2:467" hidden="1" x14ac:dyDescent="0.4">
      <c r="B46" t="str">
        <f>"9784480075345"</f>
        <v>9784480075345</v>
      </c>
      <c r="C46" t="s">
        <v>629</v>
      </c>
      <c r="D46" t="s">
        <v>630</v>
      </c>
      <c r="E46">
        <v>1705</v>
      </c>
      <c r="G46" t="s">
        <v>501</v>
      </c>
      <c r="H46" t="str">
        <f>"0211"</f>
        <v>0211</v>
      </c>
      <c r="I46" t="s">
        <v>481</v>
      </c>
      <c r="J46" t="s">
        <v>482</v>
      </c>
      <c r="K46" t="s">
        <v>610</v>
      </c>
      <c r="L46" s="1">
        <v>44933</v>
      </c>
      <c r="M46">
        <v>900</v>
      </c>
      <c r="N46" t="str">
        <f>"366.3"</f>
        <v>366.3</v>
      </c>
      <c r="P46">
        <v>55</v>
      </c>
      <c r="Q46">
        <v>35</v>
      </c>
      <c r="R46">
        <v>0</v>
      </c>
      <c r="S46">
        <v>2</v>
      </c>
      <c r="T46">
        <v>1</v>
      </c>
      <c r="U46">
        <v>0</v>
      </c>
      <c r="V46">
        <v>0</v>
      </c>
      <c r="W46">
        <v>1</v>
      </c>
      <c r="X46">
        <v>0</v>
      </c>
      <c r="Y46">
        <v>1</v>
      </c>
      <c r="Z46">
        <v>0</v>
      </c>
      <c r="AA46">
        <v>1</v>
      </c>
      <c r="AB46">
        <v>0</v>
      </c>
      <c r="AC46">
        <v>0</v>
      </c>
      <c r="AD46">
        <v>0</v>
      </c>
      <c r="AE46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1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5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3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2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1</v>
      </c>
      <c r="EU46">
        <v>0</v>
      </c>
      <c r="EV46">
        <v>3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1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1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1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2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2</v>
      </c>
      <c r="IU46">
        <v>0</v>
      </c>
      <c r="IV46">
        <v>1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2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4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1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1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1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1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1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1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2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2</v>
      </c>
      <c r="NZ46">
        <v>0</v>
      </c>
      <c r="OA46">
        <v>0</v>
      </c>
      <c r="OB46">
        <v>1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3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1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</v>
      </c>
      <c r="PU46">
        <v>0</v>
      </c>
      <c r="PV46">
        <v>0</v>
      </c>
      <c r="PW46">
        <v>0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1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</row>
    <row r="47" spans="2:467" x14ac:dyDescent="0.4">
      <c r="B47" t="str">
        <f>"9784046059772"</f>
        <v>9784046059772</v>
      </c>
      <c r="C47" t="s">
        <v>640</v>
      </c>
      <c r="D47" t="s">
        <v>641</v>
      </c>
      <c r="E47" t="s">
        <v>642</v>
      </c>
      <c r="G47" t="s">
        <v>597</v>
      </c>
      <c r="H47" t="str">
        <f>"0130"</f>
        <v>0130</v>
      </c>
      <c r="I47" t="s">
        <v>481</v>
      </c>
      <c r="J47" t="s">
        <v>487</v>
      </c>
      <c r="K47" t="s">
        <v>600</v>
      </c>
      <c r="L47" s="1">
        <v>44916</v>
      </c>
      <c r="M47">
        <v>640</v>
      </c>
      <c r="N47" t="str">
        <f>"007.6"</f>
        <v>007.6</v>
      </c>
      <c r="P47">
        <v>52</v>
      </c>
      <c r="Q47">
        <v>35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1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2</v>
      </c>
      <c r="CI47">
        <v>3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2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1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1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1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1</v>
      </c>
      <c r="GA47">
        <v>1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4</v>
      </c>
      <c r="GJ47">
        <v>0</v>
      </c>
      <c r="GK47">
        <v>0</v>
      </c>
      <c r="GL47">
        <v>0</v>
      </c>
      <c r="GM47">
        <v>0</v>
      </c>
      <c r="GN47">
        <v>1</v>
      </c>
      <c r="GO47">
        <v>0</v>
      </c>
      <c r="GP47">
        <v>0</v>
      </c>
      <c r="GQ47">
        <v>1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2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2</v>
      </c>
      <c r="HW47">
        <v>1</v>
      </c>
      <c r="HX47">
        <v>0</v>
      </c>
      <c r="HY47">
        <v>0</v>
      </c>
      <c r="HZ47">
        <v>0</v>
      </c>
      <c r="IA47">
        <v>0</v>
      </c>
      <c r="IB47">
        <v>1</v>
      </c>
      <c r="IC47">
        <v>0</v>
      </c>
      <c r="ID47">
        <v>1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5</v>
      </c>
      <c r="JG47">
        <v>2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1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1</v>
      </c>
      <c r="JX47">
        <v>0</v>
      </c>
      <c r="JY47">
        <v>0</v>
      </c>
      <c r="JZ47">
        <v>0</v>
      </c>
      <c r="KA47">
        <v>0</v>
      </c>
      <c r="KB47">
        <v>2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1</v>
      </c>
      <c r="KR47">
        <v>0</v>
      </c>
      <c r="KS47">
        <v>0</v>
      </c>
      <c r="KT47">
        <v>0</v>
      </c>
      <c r="KU47">
        <v>0</v>
      </c>
      <c r="KV47">
        <v>1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1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1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1</v>
      </c>
      <c r="OE47">
        <v>0</v>
      </c>
      <c r="OF47">
        <v>0</v>
      </c>
      <c r="OG47">
        <v>2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1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1</v>
      </c>
      <c r="PK47">
        <v>1</v>
      </c>
      <c r="PL47">
        <v>0</v>
      </c>
      <c r="PM47">
        <v>2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1</v>
      </c>
      <c r="PT47">
        <v>0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0</v>
      </c>
      <c r="QF47">
        <v>0</v>
      </c>
      <c r="QG47">
        <v>1</v>
      </c>
      <c r="QH47">
        <v>0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</row>
    <row r="48" spans="2:467" hidden="1" x14ac:dyDescent="0.4">
      <c r="B48" t="str">
        <f>"9784065304587"</f>
        <v>9784065304587</v>
      </c>
      <c r="C48" t="s">
        <v>662</v>
      </c>
      <c r="D48" t="s">
        <v>663</v>
      </c>
      <c r="E48">
        <v>2690</v>
      </c>
      <c r="G48" t="s">
        <v>548</v>
      </c>
      <c r="H48" t="str">
        <f>"0210"</f>
        <v>0210</v>
      </c>
      <c r="I48" t="s">
        <v>481</v>
      </c>
      <c r="J48" t="s">
        <v>482</v>
      </c>
      <c r="K48" t="s">
        <v>483</v>
      </c>
      <c r="L48" s="1">
        <v>44909</v>
      </c>
      <c r="M48">
        <v>800</v>
      </c>
      <c r="N48" t="str">
        <f>"135.5"</f>
        <v>135.5</v>
      </c>
      <c r="P48">
        <v>50</v>
      </c>
      <c r="Q48">
        <v>35</v>
      </c>
      <c r="R48">
        <v>0</v>
      </c>
      <c r="S48">
        <v>0</v>
      </c>
      <c r="T48">
        <v>0</v>
      </c>
      <c r="U48">
        <v>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2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6</v>
      </c>
      <c r="CI48">
        <v>1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1</v>
      </c>
      <c r="CR48">
        <v>0</v>
      </c>
      <c r="CS48">
        <v>0</v>
      </c>
      <c r="CT48">
        <v>2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1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2</v>
      </c>
      <c r="DM48">
        <v>0</v>
      </c>
      <c r="DN48">
        <v>0</v>
      </c>
      <c r="DO48">
        <v>1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1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2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1</v>
      </c>
      <c r="HV48">
        <v>1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1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2</v>
      </c>
      <c r="JG48">
        <v>2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</v>
      </c>
      <c r="JN48">
        <v>0</v>
      </c>
      <c r="JO48">
        <v>0</v>
      </c>
      <c r="JP48">
        <v>0</v>
      </c>
      <c r="JQ48">
        <v>0</v>
      </c>
      <c r="JR48">
        <v>1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1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1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1</v>
      </c>
      <c r="LS48">
        <v>1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1</v>
      </c>
      <c r="MU48">
        <v>0</v>
      </c>
      <c r="MV48">
        <v>1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1</v>
      </c>
      <c r="ND48">
        <v>0</v>
      </c>
      <c r="NE48">
        <v>2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2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1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1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1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0</v>
      </c>
      <c r="PL48">
        <v>0</v>
      </c>
      <c r="PM48">
        <v>0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0</v>
      </c>
      <c r="PU48">
        <v>0</v>
      </c>
      <c r="PV48">
        <v>0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2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1</v>
      </c>
      <c r="QU48">
        <v>0</v>
      </c>
      <c r="QV48">
        <v>0</v>
      </c>
      <c r="QW48">
        <v>0</v>
      </c>
      <c r="QX48">
        <v>0</v>
      </c>
      <c r="QY48">
        <v>1</v>
      </c>
    </row>
    <row r="49" spans="2:467" x14ac:dyDescent="0.4">
      <c r="B49" t="str">
        <f>"9784065303023"</f>
        <v>9784065303023</v>
      </c>
      <c r="C49" t="s">
        <v>613</v>
      </c>
      <c r="D49" t="s">
        <v>614</v>
      </c>
      <c r="E49">
        <v>2749</v>
      </c>
      <c r="G49" t="s">
        <v>548</v>
      </c>
      <c r="H49" t="str">
        <f>"0110"</f>
        <v>0110</v>
      </c>
      <c r="I49" t="s">
        <v>481</v>
      </c>
      <c r="J49" t="s">
        <v>487</v>
      </c>
      <c r="K49" t="s">
        <v>483</v>
      </c>
      <c r="L49" s="1">
        <v>44938</v>
      </c>
      <c r="M49">
        <v>2190</v>
      </c>
      <c r="N49" t="str">
        <f>"161.1"</f>
        <v>161.1</v>
      </c>
      <c r="P49">
        <v>58</v>
      </c>
      <c r="Q49">
        <v>33</v>
      </c>
      <c r="R49">
        <v>0</v>
      </c>
      <c r="S49">
        <v>0</v>
      </c>
      <c r="T49">
        <v>0</v>
      </c>
      <c r="U49">
        <v>2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2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1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5</v>
      </c>
      <c r="CI49">
        <v>1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6</v>
      </c>
      <c r="CR49">
        <v>0</v>
      </c>
      <c r="CS49">
        <v>1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1</v>
      </c>
      <c r="DC49">
        <v>2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1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1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1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1</v>
      </c>
      <c r="GJ49">
        <v>0</v>
      </c>
      <c r="GK49">
        <v>0</v>
      </c>
      <c r="GL49">
        <v>1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1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6</v>
      </c>
      <c r="JG49">
        <v>2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7</v>
      </c>
      <c r="JN49">
        <v>1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1</v>
      </c>
      <c r="JZ49">
        <v>0</v>
      </c>
      <c r="KA49">
        <v>0</v>
      </c>
      <c r="KB49">
        <v>1</v>
      </c>
      <c r="KC49">
        <v>0</v>
      </c>
      <c r="KD49">
        <v>0</v>
      </c>
      <c r="KE49">
        <v>0</v>
      </c>
      <c r="KF49">
        <v>0</v>
      </c>
      <c r="KG49">
        <v>1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1</v>
      </c>
      <c r="LW49">
        <v>1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1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1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1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1</v>
      </c>
      <c r="NZ49">
        <v>0</v>
      </c>
      <c r="OA49">
        <v>0</v>
      </c>
      <c r="OB49">
        <v>1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1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2</v>
      </c>
      <c r="PL49">
        <v>0</v>
      </c>
      <c r="PM49">
        <v>0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0</v>
      </c>
      <c r="PT49">
        <v>0</v>
      </c>
      <c r="PU49">
        <v>0</v>
      </c>
      <c r="PV49">
        <v>0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1</v>
      </c>
      <c r="QL49">
        <v>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</row>
    <row r="50" spans="2:467" hidden="1" x14ac:dyDescent="0.4">
      <c r="B50" t="str">
        <f>"9784004319474"</f>
        <v>9784004319474</v>
      </c>
      <c r="C50" t="s">
        <v>698</v>
      </c>
      <c r="D50" t="s">
        <v>699</v>
      </c>
      <c r="E50" t="s">
        <v>700</v>
      </c>
      <c r="G50" t="s">
        <v>521</v>
      </c>
      <c r="H50" t="str">
        <f>"0230"</f>
        <v>0230</v>
      </c>
      <c r="I50" t="s">
        <v>481</v>
      </c>
      <c r="J50" t="s">
        <v>482</v>
      </c>
      <c r="K50" t="s">
        <v>600</v>
      </c>
      <c r="L50" s="1">
        <v>44886</v>
      </c>
      <c r="M50">
        <v>820</v>
      </c>
      <c r="N50" t="str">
        <f>"334.41"</f>
        <v>334.41</v>
      </c>
      <c r="P50">
        <v>45</v>
      </c>
      <c r="Q50">
        <v>33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4</v>
      </c>
      <c r="CI50">
        <v>1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1</v>
      </c>
      <c r="CR50">
        <v>0</v>
      </c>
      <c r="CS50">
        <v>2</v>
      </c>
      <c r="CT50">
        <v>0</v>
      </c>
      <c r="CU50">
        <v>0</v>
      </c>
      <c r="CV50">
        <v>0</v>
      </c>
      <c r="CW50">
        <v>0</v>
      </c>
      <c r="CX50">
        <v>1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1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1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1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1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1</v>
      </c>
      <c r="FW50">
        <v>0</v>
      </c>
      <c r="FX50">
        <v>0</v>
      </c>
      <c r="FY50">
        <v>0</v>
      </c>
      <c r="FZ50">
        <v>1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1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1</v>
      </c>
      <c r="IG50">
        <v>0</v>
      </c>
      <c r="IH50">
        <v>0</v>
      </c>
      <c r="II50">
        <v>0</v>
      </c>
      <c r="IJ50">
        <v>0</v>
      </c>
      <c r="IK50">
        <v>2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1</v>
      </c>
      <c r="IU50">
        <v>0</v>
      </c>
      <c r="IV50">
        <v>0</v>
      </c>
      <c r="IW50">
        <v>0</v>
      </c>
      <c r="IX50">
        <v>1</v>
      </c>
      <c r="IY50">
        <v>2</v>
      </c>
      <c r="IZ50">
        <v>0</v>
      </c>
      <c r="JA50">
        <v>0</v>
      </c>
      <c r="JB50">
        <v>0</v>
      </c>
      <c r="JC50">
        <v>1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2</v>
      </c>
      <c r="JN50">
        <v>0</v>
      </c>
      <c r="JO50">
        <v>0</v>
      </c>
      <c r="JP50">
        <v>0</v>
      </c>
      <c r="JQ50">
        <v>1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1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3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1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</v>
      </c>
      <c r="NN50">
        <v>1</v>
      </c>
      <c r="NO50">
        <v>0</v>
      </c>
      <c r="NP50">
        <v>0</v>
      </c>
      <c r="NQ50">
        <v>0</v>
      </c>
      <c r="NR50">
        <v>1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2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1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1</v>
      </c>
      <c r="PL50">
        <v>0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1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3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1</v>
      </c>
      <c r="QU50">
        <v>0</v>
      </c>
      <c r="QV50">
        <v>0</v>
      </c>
      <c r="QW50">
        <v>1</v>
      </c>
      <c r="QX50">
        <v>0</v>
      </c>
      <c r="QY50">
        <v>0</v>
      </c>
    </row>
    <row r="51" spans="2:467" x14ac:dyDescent="0.4">
      <c r="B51" t="str">
        <f>"9784122072671"</f>
        <v>9784122072671</v>
      </c>
      <c r="C51" t="s">
        <v>706</v>
      </c>
      <c r="D51" t="s">
        <v>707</v>
      </c>
      <c r="E51" t="s">
        <v>708</v>
      </c>
      <c r="G51" t="s">
        <v>540</v>
      </c>
      <c r="H51" t="str">
        <f>"1193"</f>
        <v>1193</v>
      </c>
      <c r="I51" t="s">
        <v>541</v>
      </c>
      <c r="J51" t="s">
        <v>487</v>
      </c>
      <c r="K51" t="s">
        <v>488</v>
      </c>
      <c r="L51" s="1">
        <v>44855</v>
      </c>
      <c r="M51">
        <v>880</v>
      </c>
      <c r="N51" t="str">
        <f>"913.6"</f>
        <v>913.6</v>
      </c>
      <c r="P51">
        <v>41</v>
      </c>
      <c r="Q51">
        <v>33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</v>
      </c>
      <c r="BD51">
        <v>1</v>
      </c>
      <c r="BE51">
        <v>0</v>
      </c>
      <c r="BF51">
        <v>0</v>
      </c>
      <c r="BG51">
        <v>0</v>
      </c>
      <c r="BH51">
        <v>0</v>
      </c>
      <c r="BI51">
        <v>1</v>
      </c>
      <c r="BJ51">
        <v>0</v>
      </c>
      <c r="BK51">
        <v>0</v>
      </c>
      <c r="BL51">
        <v>1</v>
      </c>
      <c r="BM51">
        <v>1</v>
      </c>
      <c r="BN51">
        <v>0</v>
      </c>
      <c r="BO51">
        <v>0</v>
      </c>
      <c r="BP51">
        <v>1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1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1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1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1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1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1</v>
      </c>
      <c r="HV51">
        <v>3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1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1</v>
      </c>
      <c r="IM51">
        <v>0</v>
      </c>
      <c r="IN51">
        <v>1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1</v>
      </c>
      <c r="IX51">
        <v>0</v>
      </c>
      <c r="IY51">
        <v>1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4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1</v>
      </c>
      <c r="JN51">
        <v>0</v>
      </c>
      <c r="JO51">
        <v>1</v>
      </c>
      <c r="JP51">
        <v>0</v>
      </c>
      <c r="JQ51">
        <v>3</v>
      </c>
      <c r="JR51">
        <v>1</v>
      </c>
      <c r="JS51">
        <v>0</v>
      </c>
      <c r="JT51">
        <v>0</v>
      </c>
      <c r="JU51">
        <v>0</v>
      </c>
      <c r="JV51">
        <v>0</v>
      </c>
      <c r="JW51">
        <v>1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1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1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1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1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1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1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0</v>
      </c>
      <c r="QF51">
        <v>0</v>
      </c>
      <c r="QG51">
        <v>0</v>
      </c>
      <c r="QH51">
        <v>0</v>
      </c>
      <c r="QI51">
        <v>0</v>
      </c>
      <c r="QJ51">
        <v>0</v>
      </c>
      <c r="QK51">
        <v>2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1</v>
      </c>
      <c r="QY51">
        <v>0</v>
      </c>
    </row>
    <row r="52" spans="2:467" hidden="1" x14ac:dyDescent="0.4">
      <c r="B52" t="str">
        <f>"9784004319528"</f>
        <v>9784004319528</v>
      </c>
      <c r="C52" t="s">
        <v>709</v>
      </c>
      <c r="D52" t="s">
        <v>710</v>
      </c>
      <c r="E52" t="s">
        <v>711</v>
      </c>
      <c r="G52" t="s">
        <v>521</v>
      </c>
      <c r="H52" t="str">
        <f>"0236"</f>
        <v>0236</v>
      </c>
      <c r="I52" t="s">
        <v>481</v>
      </c>
      <c r="J52" t="s">
        <v>482</v>
      </c>
      <c r="K52" t="s">
        <v>505</v>
      </c>
      <c r="L52" s="1">
        <v>44916</v>
      </c>
      <c r="M52">
        <v>840</v>
      </c>
      <c r="N52" t="str">
        <f>"319.8"</f>
        <v>319.8</v>
      </c>
      <c r="P52">
        <v>41</v>
      </c>
      <c r="Q52">
        <v>33</v>
      </c>
      <c r="R52">
        <v>0</v>
      </c>
      <c r="S52">
        <v>2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1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1</v>
      </c>
      <c r="CZ52">
        <v>0</v>
      </c>
      <c r="DA52">
        <v>0</v>
      </c>
      <c r="DB52">
        <v>0</v>
      </c>
      <c r="DC52">
        <v>2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1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1</v>
      </c>
      <c r="EG52">
        <v>0</v>
      </c>
      <c r="EH52">
        <v>1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4</v>
      </c>
      <c r="FU52">
        <v>0</v>
      </c>
      <c r="FV52">
        <v>1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1</v>
      </c>
      <c r="GZ52">
        <v>0</v>
      </c>
      <c r="HA52">
        <v>0</v>
      </c>
      <c r="HB52">
        <v>0</v>
      </c>
      <c r="HC52">
        <v>2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1</v>
      </c>
      <c r="IP52">
        <v>0</v>
      </c>
      <c r="IQ52">
        <v>0</v>
      </c>
      <c r="IR52">
        <v>0</v>
      </c>
      <c r="IS52">
        <v>0</v>
      </c>
      <c r="IT52">
        <v>1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1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2</v>
      </c>
      <c r="JN52">
        <v>0</v>
      </c>
      <c r="JO52">
        <v>1</v>
      </c>
      <c r="JP52">
        <v>0</v>
      </c>
      <c r="JQ52">
        <v>0</v>
      </c>
      <c r="JR52">
        <v>1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1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1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1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2</v>
      </c>
      <c r="NZ52">
        <v>0</v>
      </c>
      <c r="OA52">
        <v>0</v>
      </c>
      <c r="OB52">
        <v>1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1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1</v>
      </c>
      <c r="OT52">
        <v>1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1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0</v>
      </c>
      <c r="PU52">
        <v>0</v>
      </c>
      <c r="PV52">
        <v>1</v>
      </c>
      <c r="PW52">
        <v>1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1</v>
      </c>
      <c r="QU52">
        <v>0</v>
      </c>
      <c r="QV52">
        <v>0</v>
      </c>
      <c r="QW52">
        <v>0</v>
      </c>
      <c r="QX52">
        <v>0</v>
      </c>
      <c r="QY52">
        <v>0</v>
      </c>
    </row>
    <row r="53" spans="2:467" hidden="1" x14ac:dyDescent="0.4">
      <c r="B53" t="str">
        <f>"9784344986763"</f>
        <v>9784344986763</v>
      </c>
      <c r="C53" t="s">
        <v>712</v>
      </c>
      <c r="D53" t="s">
        <v>713</v>
      </c>
      <c r="E53">
        <v>674</v>
      </c>
      <c r="G53" t="s">
        <v>714</v>
      </c>
      <c r="H53" t="str">
        <f>"0295"</f>
        <v>0295</v>
      </c>
      <c r="I53" t="s">
        <v>481</v>
      </c>
      <c r="J53" t="s">
        <v>482</v>
      </c>
      <c r="K53" t="s">
        <v>509</v>
      </c>
      <c r="L53" s="1">
        <v>44894</v>
      </c>
      <c r="M53">
        <v>940</v>
      </c>
      <c r="N53" t="str">
        <f>"404"</f>
        <v>404</v>
      </c>
      <c r="P53">
        <v>41</v>
      </c>
      <c r="Q53">
        <v>33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1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1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1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1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1</v>
      </c>
      <c r="DZ53">
        <v>0</v>
      </c>
      <c r="EA53">
        <v>0</v>
      </c>
      <c r="EB53">
        <v>0</v>
      </c>
      <c r="EC53">
        <v>0</v>
      </c>
      <c r="ED53">
        <v>2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2</v>
      </c>
      <c r="FB53">
        <v>1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</v>
      </c>
      <c r="GC53">
        <v>1</v>
      </c>
      <c r="GD53">
        <v>1</v>
      </c>
      <c r="GE53">
        <v>0</v>
      </c>
      <c r="GF53">
        <v>0</v>
      </c>
      <c r="GG53">
        <v>0</v>
      </c>
      <c r="GH53">
        <v>0</v>
      </c>
      <c r="GI53">
        <v>2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1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3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1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2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1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1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2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1</v>
      </c>
      <c r="LW53">
        <v>1</v>
      </c>
      <c r="LX53">
        <v>0</v>
      </c>
      <c r="LY53">
        <v>0</v>
      </c>
      <c r="LZ53">
        <v>2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1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1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1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0</v>
      </c>
      <c r="PH53">
        <v>0</v>
      </c>
      <c r="PI53">
        <v>0</v>
      </c>
      <c r="PJ53">
        <v>0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1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1</v>
      </c>
      <c r="QL53">
        <v>0</v>
      </c>
      <c r="QM53">
        <v>0</v>
      </c>
      <c r="QN53">
        <v>0</v>
      </c>
      <c r="QO53">
        <v>1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1</v>
      </c>
      <c r="QX53">
        <v>0</v>
      </c>
      <c r="QY53">
        <v>0</v>
      </c>
    </row>
    <row r="54" spans="2:467" x14ac:dyDescent="0.4">
      <c r="B54" t="str">
        <f>"9784480511638"</f>
        <v>9784480511638</v>
      </c>
      <c r="C54" t="s">
        <v>721</v>
      </c>
      <c r="D54" t="s">
        <v>722</v>
      </c>
      <c r="E54" t="s">
        <v>723</v>
      </c>
      <c r="G54" t="s">
        <v>501</v>
      </c>
      <c r="H54" t="str">
        <f>"0139"</f>
        <v>0139</v>
      </c>
      <c r="I54" t="s">
        <v>481</v>
      </c>
      <c r="J54" t="s">
        <v>487</v>
      </c>
      <c r="K54" t="s">
        <v>724</v>
      </c>
      <c r="L54" s="1">
        <v>44937</v>
      </c>
      <c r="M54">
        <v>1000</v>
      </c>
      <c r="N54" t="str">
        <f>"384.5"</f>
        <v>384.5</v>
      </c>
      <c r="P54">
        <v>40</v>
      </c>
      <c r="Q54">
        <v>33</v>
      </c>
      <c r="R54">
        <v>0</v>
      </c>
      <c r="S54">
        <v>2</v>
      </c>
      <c r="T54">
        <v>0</v>
      </c>
      <c r="U54">
        <v>1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1</v>
      </c>
      <c r="CD54">
        <v>0</v>
      </c>
      <c r="CE54">
        <v>0</v>
      </c>
      <c r="CF54">
        <v>0</v>
      </c>
      <c r="CG54">
        <v>0</v>
      </c>
      <c r="CH54">
        <v>2</v>
      </c>
      <c r="CI54">
        <v>1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4</v>
      </c>
      <c r="CR54">
        <v>0</v>
      </c>
      <c r="CS54">
        <v>2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1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1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1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1</v>
      </c>
      <c r="FB54">
        <v>0</v>
      </c>
      <c r="FC54">
        <v>0</v>
      </c>
      <c r="FD54">
        <v>1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1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1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1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1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1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1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1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1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1</v>
      </c>
      <c r="LX54">
        <v>0</v>
      </c>
      <c r="LY54">
        <v>0</v>
      </c>
      <c r="LZ54">
        <v>1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1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1</v>
      </c>
      <c r="ND54">
        <v>0</v>
      </c>
      <c r="NE54">
        <v>1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1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2</v>
      </c>
      <c r="NZ54">
        <v>0</v>
      </c>
      <c r="OA54">
        <v>0</v>
      </c>
      <c r="OB54">
        <v>1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0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>
        <v>0</v>
      </c>
      <c r="PH54">
        <v>0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1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1</v>
      </c>
      <c r="QL54">
        <v>0</v>
      </c>
      <c r="QM54">
        <v>0</v>
      </c>
      <c r="QN54">
        <v>0</v>
      </c>
      <c r="QO54">
        <v>1</v>
      </c>
      <c r="QP54">
        <v>0</v>
      </c>
      <c r="QQ54">
        <v>1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</row>
    <row r="55" spans="2:467" hidden="1" x14ac:dyDescent="0.4">
      <c r="B55" t="str">
        <f>"9784140886922"</f>
        <v>9784140886922</v>
      </c>
      <c r="C55" t="s">
        <v>503</v>
      </c>
      <c r="D55" t="s">
        <v>504</v>
      </c>
      <c r="E55">
        <v>692</v>
      </c>
      <c r="G55" t="s">
        <v>480</v>
      </c>
      <c r="H55" t="str">
        <f>"0236"</f>
        <v>0236</v>
      </c>
      <c r="I55" t="s">
        <v>481</v>
      </c>
      <c r="J55" t="s">
        <v>482</v>
      </c>
      <c r="K55" t="s">
        <v>505</v>
      </c>
      <c r="L55" s="1">
        <v>44932</v>
      </c>
      <c r="M55">
        <v>830</v>
      </c>
      <c r="N55" t="str">
        <f>"160.4"</f>
        <v>160.4</v>
      </c>
      <c r="P55">
        <v>131</v>
      </c>
      <c r="Q55">
        <v>32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1</v>
      </c>
      <c r="BQ55">
        <v>0</v>
      </c>
      <c r="BR55">
        <v>0</v>
      </c>
      <c r="BS55">
        <v>1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2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1</v>
      </c>
      <c r="DZ55">
        <v>0</v>
      </c>
      <c r="EA55">
        <v>0</v>
      </c>
      <c r="EB55">
        <v>0</v>
      </c>
      <c r="EC55">
        <v>1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1</v>
      </c>
      <c r="FU55">
        <v>0</v>
      </c>
      <c r="FV55">
        <v>1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1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1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1</v>
      </c>
      <c r="HV55">
        <v>0</v>
      </c>
      <c r="HW55">
        <v>0</v>
      </c>
      <c r="HX55">
        <v>0</v>
      </c>
      <c r="HY55">
        <v>1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2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1</v>
      </c>
      <c r="IU55">
        <v>0</v>
      </c>
      <c r="IV55">
        <v>0</v>
      </c>
      <c r="IW55">
        <v>0</v>
      </c>
      <c r="IX55">
        <v>0</v>
      </c>
      <c r="IY55">
        <v>1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94</v>
      </c>
      <c r="JN55">
        <v>0</v>
      </c>
      <c r="JO55">
        <v>0</v>
      </c>
      <c r="JP55">
        <v>0</v>
      </c>
      <c r="JQ55">
        <v>1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1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2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1</v>
      </c>
      <c r="LN55">
        <v>0</v>
      </c>
      <c r="LO55">
        <v>0</v>
      </c>
      <c r="LP55">
        <v>1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2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1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1</v>
      </c>
      <c r="NF55">
        <v>1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1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1</v>
      </c>
      <c r="ON55">
        <v>0</v>
      </c>
      <c r="OO55">
        <v>0</v>
      </c>
      <c r="OP55">
        <v>0</v>
      </c>
      <c r="OQ55">
        <v>0</v>
      </c>
      <c r="OR55">
        <v>0</v>
      </c>
      <c r="OS55">
        <v>2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2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1</v>
      </c>
      <c r="QV55">
        <v>0</v>
      </c>
      <c r="QW55">
        <v>0</v>
      </c>
      <c r="QX55">
        <v>0</v>
      </c>
      <c r="QY55">
        <v>0</v>
      </c>
    </row>
    <row r="56" spans="2:467" x14ac:dyDescent="0.4">
      <c r="B56" t="str">
        <f>"9784065302279"</f>
        <v>9784065302279</v>
      </c>
      <c r="C56" t="s">
        <v>631</v>
      </c>
      <c r="D56" t="s">
        <v>632</v>
      </c>
      <c r="E56">
        <v>2743</v>
      </c>
      <c r="G56" t="s">
        <v>548</v>
      </c>
      <c r="H56" t="str">
        <f>"0110"</f>
        <v>0110</v>
      </c>
      <c r="I56" t="s">
        <v>481</v>
      </c>
      <c r="J56" t="s">
        <v>487</v>
      </c>
      <c r="K56" t="s">
        <v>483</v>
      </c>
      <c r="L56" s="1">
        <v>44910</v>
      </c>
      <c r="M56">
        <v>2000</v>
      </c>
      <c r="N56" t="str">
        <f>"901"</f>
        <v>901</v>
      </c>
      <c r="P56">
        <v>54</v>
      </c>
      <c r="Q56">
        <v>32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1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6</v>
      </c>
      <c r="CI56">
        <v>5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1</v>
      </c>
      <c r="CR56">
        <v>0</v>
      </c>
      <c r="CS56">
        <v>2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1</v>
      </c>
      <c r="DC56">
        <v>4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2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1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1</v>
      </c>
      <c r="FA56">
        <v>0</v>
      </c>
      <c r="FB56">
        <v>0</v>
      </c>
      <c r="FC56">
        <v>0</v>
      </c>
      <c r="FD56">
        <v>2</v>
      </c>
      <c r="FE56">
        <v>1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1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1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1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1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1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5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1</v>
      </c>
      <c r="JN56">
        <v>0</v>
      </c>
      <c r="JO56">
        <v>0</v>
      </c>
      <c r="JP56">
        <v>0</v>
      </c>
      <c r="JQ56">
        <v>1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1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3</v>
      </c>
      <c r="LX56">
        <v>0</v>
      </c>
      <c r="LY56">
        <v>0</v>
      </c>
      <c r="LZ56">
        <v>1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1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1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2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1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1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1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</row>
    <row r="57" spans="2:467" hidden="1" x14ac:dyDescent="0.4">
      <c r="B57" t="str">
        <f>"9784166613854"</f>
        <v>9784166613854</v>
      </c>
      <c r="C57" t="s">
        <v>677</v>
      </c>
      <c r="D57" t="s">
        <v>678</v>
      </c>
      <c r="E57">
        <v>1385</v>
      </c>
      <c r="G57" t="s">
        <v>639</v>
      </c>
      <c r="H57" t="str">
        <f>"0295"</f>
        <v>0295</v>
      </c>
      <c r="I57" t="s">
        <v>481</v>
      </c>
      <c r="J57" t="s">
        <v>482</v>
      </c>
      <c r="K57" t="s">
        <v>509</v>
      </c>
      <c r="L57" s="1">
        <v>44910</v>
      </c>
      <c r="M57">
        <v>900</v>
      </c>
      <c r="N57" t="str">
        <f>"611.3"</f>
        <v>611.3</v>
      </c>
      <c r="P57">
        <v>47</v>
      </c>
      <c r="Q57">
        <v>32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1</v>
      </c>
      <c r="BC57">
        <v>0</v>
      </c>
      <c r="BD57">
        <v>1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1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1</v>
      </c>
      <c r="CI57">
        <v>2</v>
      </c>
      <c r="CJ57">
        <v>1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1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1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1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1</v>
      </c>
      <c r="GD57">
        <v>0</v>
      </c>
      <c r="GE57">
        <v>0</v>
      </c>
      <c r="GF57">
        <v>1</v>
      </c>
      <c r="GG57">
        <v>0</v>
      </c>
      <c r="GH57">
        <v>0</v>
      </c>
      <c r="GI57">
        <v>2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1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1</v>
      </c>
      <c r="HD57">
        <v>0</v>
      </c>
      <c r="HE57">
        <v>0</v>
      </c>
      <c r="HF57">
        <v>1</v>
      </c>
      <c r="HG57">
        <v>0</v>
      </c>
      <c r="HH57">
        <v>0</v>
      </c>
      <c r="HI57">
        <v>0</v>
      </c>
      <c r="HJ57">
        <v>0</v>
      </c>
      <c r="HK57">
        <v>1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3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2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3</v>
      </c>
      <c r="JN57">
        <v>0</v>
      </c>
      <c r="JO57">
        <v>0</v>
      </c>
      <c r="JP57">
        <v>0</v>
      </c>
      <c r="JQ57">
        <v>1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1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6</v>
      </c>
      <c r="LN57">
        <v>0</v>
      </c>
      <c r="LO57">
        <v>0</v>
      </c>
      <c r="LP57">
        <v>0</v>
      </c>
      <c r="LQ57">
        <v>0</v>
      </c>
      <c r="LR57">
        <v>1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2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1</v>
      </c>
      <c r="OC57">
        <v>0</v>
      </c>
      <c r="OD57">
        <v>0</v>
      </c>
      <c r="OE57">
        <v>0</v>
      </c>
      <c r="OF57">
        <v>0</v>
      </c>
      <c r="OG57">
        <v>1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2</v>
      </c>
      <c r="OT57">
        <v>1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1</v>
      </c>
      <c r="PR57">
        <v>0</v>
      </c>
      <c r="PS57">
        <v>0</v>
      </c>
      <c r="PT57">
        <v>1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0</v>
      </c>
      <c r="QF57">
        <v>0</v>
      </c>
      <c r="QG57">
        <v>0</v>
      </c>
      <c r="QH57">
        <v>0</v>
      </c>
      <c r="QI57">
        <v>0</v>
      </c>
      <c r="QJ57">
        <v>0</v>
      </c>
      <c r="QK57">
        <v>2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1</v>
      </c>
      <c r="QV57">
        <v>0</v>
      </c>
      <c r="QW57">
        <v>0</v>
      </c>
      <c r="QX57">
        <v>0</v>
      </c>
      <c r="QY57">
        <v>0</v>
      </c>
    </row>
    <row r="58" spans="2:467" hidden="1" x14ac:dyDescent="0.4">
      <c r="B58" t="str">
        <f>"9784004319450"</f>
        <v>9784004319450</v>
      </c>
      <c r="C58" t="s">
        <v>681</v>
      </c>
      <c r="D58" t="s">
        <v>682</v>
      </c>
      <c r="E58" t="s">
        <v>683</v>
      </c>
      <c r="G58" t="s">
        <v>521</v>
      </c>
      <c r="H58" t="str">
        <f>"0237"</f>
        <v>0237</v>
      </c>
      <c r="I58" t="s">
        <v>481</v>
      </c>
      <c r="J58" t="s">
        <v>482</v>
      </c>
      <c r="K58" t="s">
        <v>569</v>
      </c>
      <c r="L58" s="1">
        <v>44855</v>
      </c>
      <c r="M58">
        <v>900</v>
      </c>
      <c r="N58" t="str">
        <f>"371.253"</f>
        <v>371.253</v>
      </c>
      <c r="P58">
        <v>47</v>
      </c>
      <c r="Q58">
        <v>32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2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</v>
      </c>
      <c r="AU58">
        <v>0</v>
      </c>
      <c r="AV58">
        <v>1</v>
      </c>
      <c r="AW58">
        <v>0</v>
      </c>
      <c r="AX58">
        <v>0</v>
      </c>
      <c r="AY58">
        <v>0</v>
      </c>
      <c r="AZ58">
        <v>0</v>
      </c>
      <c r="BA58">
        <v>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3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1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4</v>
      </c>
      <c r="CI58">
        <v>1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1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1</v>
      </c>
      <c r="FU58">
        <v>0</v>
      </c>
      <c r="FV58">
        <v>0</v>
      </c>
      <c r="FW58">
        <v>0</v>
      </c>
      <c r="FX58">
        <v>1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2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1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1</v>
      </c>
      <c r="HL58">
        <v>0</v>
      </c>
      <c r="HM58">
        <v>1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1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1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1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4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1</v>
      </c>
      <c r="JN58">
        <v>0</v>
      </c>
      <c r="JO58">
        <v>0</v>
      </c>
      <c r="JP58">
        <v>2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1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1</v>
      </c>
      <c r="LP58">
        <v>1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1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3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1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1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1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0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  <c r="QG58">
        <v>0</v>
      </c>
      <c r="QH58">
        <v>0</v>
      </c>
      <c r="QI58">
        <v>0</v>
      </c>
      <c r="QJ58">
        <v>0</v>
      </c>
      <c r="QK58">
        <v>2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2</v>
      </c>
      <c r="QR58">
        <v>0</v>
      </c>
      <c r="QS58">
        <v>0</v>
      </c>
      <c r="QT58">
        <v>1</v>
      </c>
      <c r="QU58">
        <v>0</v>
      </c>
      <c r="QV58">
        <v>0</v>
      </c>
      <c r="QW58">
        <v>0</v>
      </c>
      <c r="QX58">
        <v>0</v>
      </c>
      <c r="QY58">
        <v>0</v>
      </c>
    </row>
    <row r="59" spans="2:467" x14ac:dyDescent="0.4">
      <c r="B59" t="str">
        <f>"9784480511614"</f>
        <v>9784480511614</v>
      </c>
      <c r="C59" t="s">
        <v>692</v>
      </c>
      <c r="D59" t="s">
        <v>693</v>
      </c>
      <c r="E59" t="s">
        <v>694</v>
      </c>
      <c r="G59" t="s">
        <v>501</v>
      </c>
      <c r="H59" t="str">
        <f>"0122"</f>
        <v>0122</v>
      </c>
      <c r="I59" t="s">
        <v>481</v>
      </c>
      <c r="J59" t="s">
        <v>487</v>
      </c>
      <c r="K59" t="s">
        <v>579</v>
      </c>
      <c r="L59" s="1">
        <v>44937</v>
      </c>
      <c r="M59">
        <v>1100</v>
      </c>
      <c r="N59" t="str">
        <f>"234.074"</f>
        <v>234.074</v>
      </c>
      <c r="P59">
        <v>46</v>
      </c>
      <c r="Q59">
        <v>32</v>
      </c>
      <c r="R59">
        <v>0</v>
      </c>
      <c r="S59">
        <v>0</v>
      </c>
      <c r="T59">
        <v>1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1</v>
      </c>
      <c r="BC59">
        <v>0</v>
      </c>
      <c r="BD59">
        <v>0</v>
      </c>
      <c r="BE59">
        <v>0</v>
      </c>
      <c r="BF59">
        <v>0</v>
      </c>
      <c r="BG59">
        <v>1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1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1</v>
      </c>
      <c r="CI59">
        <v>1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3</v>
      </c>
      <c r="CR59">
        <v>0</v>
      </c>
      <c r="CS59">
        <v>2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1</v>
      </c>
      <c r="DZ59">
        <v>0</v>
      </c>
      <c r="EA59">
        <v>0</v>
      </c>
      <c r="EB59">
        <v>0</v>
      </c>
      <c r="EC59">
        <v>0</v>
      </c>
      <c r="ED59">
        <v>1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4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1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1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1</v>
      </c>
      <c r="GJ59">
        <v>0</v>
      </c>
      <c r="GK59">
        <v>0</v>
      </c>
      <c r="GL59">
        <v>1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1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1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1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3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1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1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1</v>
      </c>
      <c r="LQ59">
        <v>0</v>
      </c>
      <c r="LR59">
        <v>1</v>
      </c>
      <c r="LS59">
        <v>0</v>
      </c>
      <c r="LT59">
        <v>0</v>
      </c>
      <c r="LU59">
        <v>0</v>
      </c>
      <c r="LV59">
        <v>0</v>
      </c>
      <c r="LW59">
        <v>3</v>
      </c>
      <c r="LX59">
        <v>0</v>
      </c>
      <c r="LY59">
        <v>0</v>
      </c>
      <c r="LZ59">
        <v>0</v>
      </c>
      <c r="MA59">
        <v>0</v>
      </c>
      <c r="MB59">
        <v>1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1</v>
      </c>
      <c r="MU59">
        <v>0</v>
      </c>
      <c r="MV59">
        <v>2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3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1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2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</row>
    <row r="60" spans="2:467" hidden="1" x14ac:dyDescent="0.4">
      <c r="B60" t="str">
        <f>"9784065307304"</f>
        <v>9784065307304</v>
      </c>
      <c r="C60" t="s">
        <v>718</v>
      </c>
      <c r="D60" t="s">
        <v>719</v>
      </c>
      <c r="E60" t="s">
        <v>720</v>
      </c>
      <c r="G60" t="s">
        <v>548</v>
      </c>
      <c r="H60" t="str">
        <f>"0241"</f>
        <v>0241</v>
      </c>
      <c r="I60" t="s">
        <v>481</v>
      </c>
      <c r="J60" t="s">
        <v>482</v>
      </c>
      <c r="K60" t="s">
        <v>604</v>
      </c>
      <c r="L60" s="1">
        <v>44944</v>
      </c>
      <c r="M60">
        <v>1000</v>
      </c>
      <c r="N60" t="str">
        <f>"410.79"</f>
        <v>410.79</v>
      </c>
      <c r="P60">
        <v>40</v>
      </c>
      <c r="Q60">
        <v>32</v>
      </c>
      <c r="R60">
        <v>0</v>
      </c>
      <c r="S60">
        <v>0</v>
      </c>
      <c r="T60">
        <v>0</v>
      </c>
      <c r="U60">
        <v>1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</v>
      </c>
      <c r="AM60">
        <v>0</v>
      </c>
      <c r="AN60">
        <v>1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1</v>
      </c>
      <c r="BH60">
        <v>0</v>
      </c>
      <c r="BI60">
        <v>0</v>
      </c>
      <c r="BJ60">
        <v>0</v>
      </c>
      <c r="BK60">
        <v>0</v>
      </c>
      <c r="BL60">
        <v>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3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4</v>
      </c>
      <c r="DC60">
        <v>1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1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1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1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1</v>
      </c>
      <c r="FZ60">
        <v>0</v>
      </c>
      <c r="GA60">
        <v>0</v>
      </c>
      <c r="GB60">
        <v>0</v>
      </c>
      <c r="GC60">
        <v>1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1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2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1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2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1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2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1</v>
      </c>
      <c r="JN60">
        <v>0</v>
      </c>
      <c r="JO60">
        <v>0</v>
      </c>
      <c r="JP60">
        <v>0</v>
      </c>
      <c r="JQ60">
        <v>0</v>
      </c>
      <c r="JR60">
        <v>1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1</v>
      </c>
      <c r="NK60">
        <v>0</v>
      </c>
      <c r="NL60">
        <v>1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1</v>
      </c>
      <c r="NZ60">
        <v>0</v>
      </c>
      <c r="OA60">
        <v>0</v>
      </c>
      <c r="OB60">
        <v>1</v>
      </c>
      <c r="OC60">
        <v>0</v>
      </c>
      <c r="OD60">
        <v>0</v>
      </c>
      <c r="OE60">
        <v>0</v>
      </c>
      <c r="OF60">
        <v>0</v>
      </c>
      <c r="OG60">
        <v>1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1</v>
      </c>
      <c r="OT60">
        <v>1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1</v>
      </c>
      <c r="PU60">
        <v>0</v>
      </c>
      <c r="PV60">
        <v>0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</row>
    <row r="61" spans="2:467" x14ac:dyDescent="0.4">
      <c r="B61" t="str">
        <f>"9784046059765"</f>
        <v>9784046059765</v>
      </c>
      <c r="C61" t="s">
        <v>695</v>
      </c>
      <c r="D61" t="s">
        <v>696</v>
      </c>
      <c r="E61" t="s">
        <v>697</v>
      </c>
      <c r="G61" t="s">
        <v>597</v>
      </c>
      <c r="H61" t="str">
        <f>"0130"</f>
        <v>0130</v>
      </c>
      <c r="I61" t="s">
        <v>481</v>
      </c>
      <c r="J61" t="s">
        <v>487</v>
      </c>
      <c r="K61" t="s">
        <v>600</v>
      </c>
      <c r="L61" s="1">
        <v>44858</v>
      </c>
      <c r="M61">
        <v>620</v>
      </c>
      <c r="N61" t="str">
        <f>"361"</f>
        <v>361</v>
      </c>
      <c r="P61">
        <v>45</v>
      </c>
      <c r="Q61">
        <v>31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2</v>
      </c>
      <c r="AM61">
        <v>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1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1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3</v>
      </c>
      <c r="CI61">
        <v>1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2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1</v>
      </c>
      <c r="DD61">
        <v>0</v>
      </c>
      <c r="DE61">
        <v>1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1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1</v>
      </c>
      <c r="EZ61">
        <v>0</v>
      </c>
      <c r="FA61">
        <v>0</v>
      </c>
      <c r="FB61">
        <v>0</v>
      </c>
      <c r="FC61">
        <v>0</v>
      </c>
      <c r="FD61">
        <v>1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1</v>
      </c>
      <c r="FP61">
        <v>0</v>
      </c>
      <c r="FQ61">
        <v>0</v>
      </c>
      <c r="FR61">
        <v>0</v>
      </c>
      <c r="FS61">
        <v>0</v>
      </c>
      <c r="FT61">
        <v>1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2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2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3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1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1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1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1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3</v>
      </c>
      <c r="LQ61">
        <v>0</v>
      </c>
      <c r="LR61">
        <v>1</v>
      </c>
      <c r="LS61">
        <v>0</v>
      </c>
      <c r="LT61">
        <v>0</v>
      </c>
      <c r="LU61">
        <v>0</v>
      </c>
      <c r="LV61">
        <v>0</v>
      </c>
      <c r="LW61">
        <v>2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1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1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1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1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2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3</v>
      </c>
      <c r="QY61">
        <v>0</v>
      </c>
    </row>
    <row r="62" spans="2:467" hidden="1" x14ac:dyDescent="0.4">
      <c r="B62" t="str">
        <f>"9784480075277"</f>
        <v>9784480075277</v>
      </c>
      <c r="C62" t="s">
        <v>725</v>
      </c>
      <c r="D62" t="s">
        <v>726</v>
      </c>
      <c r="E62">
        <v>1702</v>
      </c>
      <c r="G62" t="s">
        <v>501</v>
      </c>
      <c r="H62" t="str">
        <f>"0231"</f>
        <v>0231</v>
      </c>
      <c r="I62" t="s">
        <v>481</v>
      </c>
      <c r="J62" t="s">
        <v>482</v>
      </c>
      <c r="K62" t="s">
        <v>502</v>
      </c>
      <c r="L62" s="1">
        <v>44933</v>
      </c>
      <c r="M62">
        <v>900</v>
      </c>
      <c r="N62" t="str">
        <f>"319.380"</f>
        <v>319.380</v>
      </c>
      <c r="P62">
        <v>39</v>
      </c>
      <c r="Q62">
        <v>31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0</v>
      </c>
      <c r="AA62">
        <v>1</v>
      </c>
      <c r="AB62">
        <v>0</v>
      </c>
      <c r="AC62">
        <v>0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4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1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1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1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1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1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1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1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1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4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2</v>
      </c>
      <c r="JN62">
        <v>0</v>
      </c>
      <c r="JO62">
        <v>0</v>
      </c>
      <c r="JP62">
        <v>0</v>
      </c>
      <c r="JQ62">
        <v>1</v>
      </c>
      <c r="JR62">
        <v>0</v>
      </c>
      <c r="JS62">
        <v>0</v>
      </c>
      <c r="JT62">
        <v>0</v>
      </c>
      <c r="JU62">
        <v>1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1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1</v>
      </c>
      <c r="LW62">
        <v>1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1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1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1</v>
      </c>
      <c r="OP62">
        <v>0</v>
      </c>
      <c r="OQ62">
        <v>0</v>
      </c>
      <c r="OR62">
        <v>0</v>
      </c>
      <c r="OS62">
        <v>1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0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1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1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</row>
    <row r="63" spans="2:467" hidden="1" x14ac:dyDescent="0.4">
      <c r="B63" t="str">
        <f>"9784121027269"</f>
        <v>9784121027269</v>
      </c>
      <c r="C63" t="s">
        <v>618</v>
      </c>
      <c r="D63" t="s">
        <v>619</v>
      </c>
      <c r="E63">
        <v>2726</v>
      </c>
      <c r="G63" t="s">
        <v>540</v>
      </c>
      <c r="H63" t="str">
        <f>"1221"</f>
        <v>1221</v>
      </c>
      <c r="I63" t="s">
        <v>541</v>
      </c>
      <c r="J63" t="s">
        <v>482</v>
      </c>
      <c r="K63" t="s">
        <v>620</v>
      </c>
      <c r="L63" s="1">
        <v>44883</v>
      </c>
      <c r="M63">
        <v>940</v>
      </c>
      <c r="N63" t="str">
        <f>"289.1"</f>
        <v>289.1</v>
      </c>
      <c r="P63">
        <v>57</v>
      </c>
      <c r="Q63">
        <v>30</v>
      </c>
      <c r="R63">
        <v>0</v>
      </c>
      <c r="S63">
        <v>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1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5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1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4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2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1</v>
      </c>
      <c r="EG63">
        <v>1</v>
      </c>
      <c r="EH63">
        <v>1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1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1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1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1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1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4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4</v>
      </c>
      <c r="JN63">
        <v>0</v>
      </c>
      <c r="JO63">
        <v>0</v>
      </c>
      <c r="JP63">
        <v>0</v>
      </c>
      <c r="JQ63">
        <v>3</v>
      </c>
      <c r="JR63">
        <v>0</v>
      </c>
      <c r="JS63">
        <v>0</v>
      </c>
      <c r="JT63">
        <v>0</v>
      </c>
      <c r="JU63">
        <v>1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1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1</v>
      </c>
      <c r="LS63">
        <v>1</v>
      </c>
      <c r="LT63">
        <v>0</v>
      </c>
      <c r="LU63">
        <v>0</v>
      </c>
      <c r="LV63">
        <v>0</v>
      </c>
      <c r="LW63">
        <v>5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2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1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1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3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3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</row>
    <row r="64" spans="2:467" hidden="1" x14ac:dyDescent="0.4">
      <c r="B64" t="str">
        <f>"9784065294383"</f>
        <v>9784065294383</v>
      </c>
      <c r="C64" t="s">
        <v>650</v>
      </c>
      <c r="D64" t="s">
        <v>651</v>
      </c>
      <c r="E64">
        <v>2679</v>
      </c>
      <c r="G64" t="s">
        <v>548</v>
      </c>
      <c r="H64" t="str">
        <f>"0233"</f>
        <v>0233</v>
      </c>
      <c r="I64" t="s">
        <v>481</v>
      </c>
      <c r="J64" t="s">
        <v>482</v>
      </c>
      <c r="K64" t="s">
        <v>537</v>
      </c>
      <c r="L64" s="1">
        <v>44853</v>
      </c>
      <c r="M64">
        <v>900</v>
      </c>
      <c r="N64" t="str">
        <f>"337.9"</f>
        <v>337.9</v>
      </c>
      <c r="P64">
        <v>51</v>
      </c>
      <c r="Q64">
        <v>30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2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1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9</v>
      </c>
      <c r="CI64">
        <v>2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2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1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1</v>
      </c>
      <c r="DZ64">
        <v>0</v>
      </c>
      <c r="EA64">
        <v>0</v>
      </c>
      <c r="EB64">
        <v>0</v>
      </c>
      <c r="EC64">
        <v>0</v>
      </c>
      <c r="ED64">
        <v>1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2</v>
      </c>
      <c r="EO64">
        <v>0</v>
      </c>
      <c r="EP64">
        <v>0</v>
      </c>
      <c r="EQ64">
        <v>0</v>
      </c>
      <c r="ER64">
        <v>2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1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2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1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2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2</v>
      </c>
      <c r="IU64">
        <v>0</v>
      </c>
      <c r="IV64">
        <v>1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1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1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1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3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1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2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1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3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1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0</v>
      </c>
      <c r="PJ64">
        <v>0</v>
      </c>
      <c r="PK64">
        <v>1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0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1</v>
      </c>
      <c r="QH64">
        <v>0</v>
      </c>
      <c r="QI64">
        <v>0</v>
      </c>
      <c r="QJ64">
        <v>0</v>
      </c>
      <c r="QK64">
        <v>1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1</v>
      </c>
      <c r="QU64">
        <v>0</v>
      </c>
      <c r="QV64">
        <v>0</v>
      </c>
      <c r="QW64">
        <v>0</v>
      </c>
      <c r="QX64">
        <v>0</v>
      </c>
      <c r="QY64">
        <v>0</v>
      </c>
    </row>
    <row r="65" spans="2:467" hidden="1" x14ac:dyDescent="0.4">
      <c r="B65" t="str">
        <f>"9784815615604"</f>
        <v>9784815615604</v>
      </c>
      <c r="C65" t="s">
        <v>664</v>
      </c>
      <c r="D65" t="s">
        <v>665</v>
      </c>
      <c r="E65">
        <v>586</v>
      </c>
      <c r="G65" t="s">
        <v>666</v>
      </c>
      <c r="H65" t="str">
        <f>"0236"</f>
        <v>0236</v>
      </c>
      <c r="I65" t="s">
        <v>481</v>
      </c>
      <c r="J65" t="s">
        <v>482</v>
      </c>
      <c r="K65" t="s">
        <v>505</v>
      </c>
      <c r="L65" s="1">
        <v>44748</v>
      </c>
      <c r="M65">
        <v>900</v>
      </c>
      <c r="N65" t="str">
        <f>"311.7"</f>
        <v>311.7</v>
      </c>
      <c r="P65">
        <v>50</v>
      </c>
      <c r="Q65">
        <v>30</v>
      </c>
      <c r="R65">
        <v>0</v>
      </c>
      <c r="S65">
        <v>0</v>
      </c>
      <c r="T65">
        <v>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1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1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2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3</v>
      </c>
      <c r="CU65">
        <v>0</v>
      </c>
      <c r="CV65">
        <v>0</v>
      </c>
      <c r="CW65">
        <v>0</v>
      </c>
      <c r="CX65">
        <v>0</v>
      </c>
      <c r="CY65">
        <v>1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1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1</v>
      </c>
      <c r="ED65">
        <v>0</v>
      </c>
      <c r="EE65">
        <v>0</v>
      </c>
      <c r="EF65">
        <v>1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>
        <v>1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2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2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1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1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1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2</v>
      </c>
      <c r="IC65">
        <v>0</v>
      </c>
      <c r="ID65">
        <v>0</v>
      </c>
      <c r="IE65">
        <v>0</v>
      </c>
      <c r="IF65">
        <v>1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1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2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9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1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2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1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1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2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1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1</v>
      </c>
      <c r="QH65">
        <v>0</v>
      </c>
      <c r="QI65">
        <v>0</v>
      </c>
      <c r="QJ65">
        <v>0</v>
      </c>
      <c r="QK65">
        <v>1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</row>
    <row r="66" spans="2:467" hidden="1" x14ac:dyDescent="0.4">
      <c r="B66" t="str">
        <f>"9784121026835"</f>
        <v>9784121026835</v>
      </c>
      <c r="C66" t="s">
        <v>752</v>
      </c>
      <c r="D66" t="s">
        <v>753</v>
      </c>
      <c r="E66">
        <v>2683</v>
      </c>
      <c r="G66" t="s">
        <v>540</v>
      </c>
      <c r="H66" t="str">
        <f>"1222"</f>
        <v>1222</v>
      </c>
      <c r="I66" t="s">
        <v>541</v>
      </c>
      <c r="J66" t="s">
        <v>482</v>
      </c>
      <c r="K66" t="s">
        <v>579</v>
      </c>
      <c r="L66" s="1">
        <v>44610</v>
      </c>
      <c r="M66">
        <v>960</v>
      </c>
      <c r="N66" t="str">
        <f>"469.2"</f>
        <v>469.2</v>
      </c>
      <c r="P66">
        <v>36</v>
      </c>
      <c r="Q66">
        <v>30</v>
      </c>
      <c r="R66">
        <v>0</v>
      </c>
      <c r="S66">
        <v>1</v>
      </c>
      <c r="T66">
        <v>0</v>
      </c>
      <c r="U66">
        <v>0</v>
      </c>
      <c r="V66">
        <v>0</v>
      </c>
      <c r="W66">
        <v>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1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1</v>
      </c>
      <c r="CR66">
        <v>0</v>
      </c>
      <c r="CS66">
        <v>1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1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1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2</v>
      </c>
      <c r="EE66">
        <v>0</v>
      </c>
      <c r="EF66">
        <v>0</v>
      </c>
      <c r="EG66">
        <v>0</v>
      </c>
      <c r="EH66">
        <v>1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2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1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1</v>
      </c>
      <c r="HV66">
        <v>0</v>
      </c>
      <c r="HW66">
        <v>1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1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1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4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1</v>
      </c>
      <c r="JP66">
        <v>0</v>
      </c>
      <c r="JQ66">
        <v>1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1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1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1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1</v>
      </c>
      <c r="LX66">
        <v>0</v>
      </c>
      <c r="LY66">
        <v>0</v>
      </c>
      <c r="LZ66">
        <v>1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2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1</v>
      </c>
      <c r="PL66">
        <v>0</v>
      </c>
      <c r="PM66">
        <v>0</v>
      </c>
      <c r="PN66">
        <v>0</v>
      </c>
      <c r="PO66">
        <v>0</v>
      </c>
      <c r="PP66">
        <v>0</v>
      </c>
      <c r="PQ66">
        <v>1</v>
      </c>
      <c r="PR66">
        <v>0</v>
      </c>
      <c r="PS66">
        <v>0</v>
      </c>
      <c r="PT66">
        <v>0</v>
      </c>
      <c r="PU66">
        <v>1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1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1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0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</row>
    <row r="67" spans="2:467" hidden="1" x14ac:dyDescent="0.4">
      <c r="B67" t="str">
        <f>"9784480075352"</f>
        <v>9784480075352</v>
      </c>
      <c r="C67" t="s">
        <v>772</v>
      </c>
      <c r="D67" t="s">
        <v>773</v>
      </c>
      <c r="E67">
        <v>1703</v>
      </c>
      <c r="G67" t="s">
        <v>501</v>
      </c>
      <c r="H67" t="str">
        <f>"0221"</f>
        <v>0221</v>
      </c>
      <c r="I67" t="s">
        <v>481</v>
      </c>
      <c r="J67" t="s">
        <v>482</v>
      </c>
      <c r="K67" t="s">
        <v>620</v>
      </c>
      <c r="L67" s="1">
        <v>44933</v>
      </c>
      <c r="M67">
        <v>940</v>
      </c>
      <c r="N67" t="str">
        <f>"288.3"</f>
        <v>288.3</v>
      </c>
      <c r="P67">
        <v>35</v>
      </c>
      <c r="Q67">
        <v>30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0</v>
      </c>
      <c r="AA67">
        <v>1</v>
      </c>
      <c r="AB67">
        <v>0</v>
      </c>
      <c r="AC67">
        <v>0</v>
      </c>
      <c r="AD67">
        <v>0</v>
      </c>
      <c r="AE67">
        <v>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1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4</v>
      </c>
      <c r="CR67">
        <v>0</v>
      </c>
      <c r="CS67">
        <v>1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1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1</v>
      </c>
      <c r="FE67">
        <v>1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1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1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1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1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1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2</v>
      </c>
      <c r="JN67">
        <v>0</v>
      </c>
      <c r="JO67">
        <v>0</v>
      </c>
      <c r="JP67">
        <v>0</v>
      </c>
      <c r="JQ67">
        <v>1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1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1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1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1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1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0</v>
      </c>
      <c r="OM67">
        <v>1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1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2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1</v>
      </c>
      <c r="QP67">
        <v>0</v>
      </c>
      <c r="QQ67">
        <v>0</v>
      </c>
      <c r="QR67">
        <v>0</v>
      </c>
      <c r="QS67">
        <v>0</v>
      </c>
      <c r="QT67">
        <v>1</v>
      </c>
      <c r="QU67">
        <v>0</v>
      </c>
      <c r="QV67">
        <v>0</v>
      </c>
      <c r="QW67">
        <v>0</v>
      </c>
      <c r="QX67">
        <v>0</v>
      </c>
      <c r="QY67">
        <v>0</v>
      </c>
    </row>
    <row r="68" spans="2:467" x14ac:dyDescent="0.4">
      <c r="B68" t="str">
        <f>"9784480511621"</f>
        <v>9784480511621</v>
      </c>
      <c r="C68" t="s">
        <v>782</v>
      </c>
      <c r="D68" t="s">
        <v>783</v>
      </c>
      <c r="E68" t="s">
        <v>784</v>
      </c>
      <c r="G68" t="s">
        <v>501</v>
      </c>
      <c r="H68" t="str">
        <f>"0141"</f>
        <v>0141</v>
      </c>
      <c r="I68" t="s">
        <v>481</v>
      </c>
      <c r="J68" t="s">
        <v>487</v>
      </c>
      <c r="K68" t="s">
        <v>604</v>
      </c>
      <c r="L68" s="1">
        <v>44937</v>
      </c>
      <c r="M68">
        <v>1000</v>
      </c>
      <c r="N68" t="str">
        <f>"410.4"</f>
        <v>410.4</v>
      </c>
      <c r="P68">
        <v>34</v>
      </c>
      <c r="Q68">
        <v>30</v>
      </c>
      <c r="R68">
        <v>0</v>
      </c>
      <c r="S68">
        <v>0</v>
      </c>
      <c r="T68">
        <v>0</v>
      </c>
      <c r="U68">
        <v>1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1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1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1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1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1</v>
      </c>
      <c r="FE68">
        <v>0</v>
      </c>
      <c r="FF68">
        <v>0</v>
      </c>
      <c r="FG68">
        <v>0</v>
      </c>
      <c r="FH68">
        <v>1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1</v>
      </c>
      <c r="GJ68">
        <v>0</v>
      </c>
      <c r="GK68">
        <v>0</v>
      </c>
      <c r="GL68">
        <v>1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</v>
      </c>
      <c r="HV68">
        <v>1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1</v>
      </c>
      <c r="IE68">
        <v>0</v>
      </c>
      <c r="IF68">
        <v>1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2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1</v>
      </c>
      <c r="JI68">
        <v>0</v>
      </c>
      <c r="JJ68">
        <v>0</v>
      </c>
      <c r="JK68">
        <v>0</v>
      </c>
      <c r="JL68">
        <v>0</v>
      </c>
      <c r="JM68">
        <v>1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1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1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1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1</v>
      </c>
      <c r="MQ68">
        <v>0</v>
      </c>
      <c r="MR68">
        <v>0</v>
      </c>
      <c r="MS68">
        <v>0</v>
      </c>
      <c r="MT68">
        <v>1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2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1</v>
      </c>
      <c r="OC68">
        <v>0</v>
      </c>
      <c r="OD68">
        <v>0</v>
      </c>
      <c r="OE68">
        <v>0</v>
      </c>
      <c r="OF68">
        <v>0</v>
      </c>
      <c r="OG68">
        <v>1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1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1</v>
      </c>
      <c r="PM68">
        <v>3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</row>
    <row r="69" spans="2:467" x14ac:dyDescent="0.4">
      <c r="B69" t="str">
        <f>"9784006004590"</f>
        <v>9784006004590</v>
      </c>
      <c r="C69" t="s">
        <v>732</v>
      </c>
      <c r="D69" t="s">
        <v>733</v>
      </c>
      <c r="E69" t="s">
        <v>734</v>
      </c>
      <c r="G69" t="s">
        <v>521</v>
      </c>
      <c r="H69" t="str">
        <f>"0110"</f>
        <v>0110</v>
      </c>
      <c r="I69" t="s">
        <v>481</v>
      </c>
      <c r="J69" t="s">
        <v>487</v>
      </c>
      <c r="K69" t="s">
        <v>483</v>
      </c>
      <c r="L69" s="1">
        <v>44911</v>
      </c>
      <c r="M69">
        <v>960</v>
      </c>
      <c r="N69" t="str">
        <f>"150"</f>
        <v>150</v>
      </c>
      <c r="P69">
        <v>38</v>
      </c>
      <c r="Q69">
        <v>29</v>
      </c>
      <c r="R69">
        <v>0</v>
      </c>
      <c r="S69">
        <v>0</v>
      </c>
      <c r="T69">
        <v>0</v>
      </c>
      <c r="U69">
        <v>0</v>
      </c>
      <c r="V69">
        <v>0</v>
      </c>
      <c r="W69">
        <v>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0</v>
      </c>
      <c r="BJ69">
        <v>0</v>
      </c>
      <c r="BK69">
        <v>0</v>
      </c>
      <c r="BL69">
        <v>1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5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1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1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3</v>
      </c>
      <c r="FU69">
        <v>0</v>
      </c>
      <c r="FV69">
        <v>0</v>
      </c>
      <c r="FW69">
        <v>0</v>
      </c>
      <c r="FX69">
        <v>1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1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1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1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1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</v>
      </c>
      <c r="JN69">
        <v>0</v>
      </c>
      <c r="JO69">
        <v>0</v>
      </c>
      <c r="JP69">
        <v>0</v>
      </c>
      <c r="JQ69">
        <v>1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1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1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1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1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1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1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1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1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1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1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2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</row>
    <row r="70" spans="2:467" hidden="1" x14ac:dyDescent="0.4">
      <c r="B70" t="str">
        <f>"9784121027306"</f>
        <v>9784121027306</v>
      </c>
      <c r="C70" t="s">
        <v>735</v>
      </c>
      <c r="D70" t="s">
        <v>736</v>
      </c>
      <c r="E70">
        <v>2730</v>
      </c>
      <c r="G70" t="s">
        <v>540</v>
      </c>
      <c r="H70" t="str">
        <f>"1221"</f>
        <v>1221</v>
      </c>
      <c r="I70" t="s">
        <v>541</v>
      </c>
      <c r="J70" t="s">
        <v>482</v>
      </c>
      <c r="K70" t="s">
        <v>620</v>
      </c>
      <c r="L70" s="1">
        <v>44914</v>
      </c>
      <c r="M70">
        <v>880</v>
      </c>
      <c r="N70" t="str">
        <f>"210.58"</f>
        <v>210.58</v>
      </c>
      <c r="P70">
        <v>37</v>
      </c>
      <c r="Q70">
        <v>29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3</v>
      </c>
      <c r="CI70">
        <v>1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1</v>
      </c>
      <c r="CS70">
        <v>1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2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1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1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1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1</v>
      </c>
      <c r="GJ70">
        <v>0</v>
      </c>
      <c r="GK70">
        <v>0</v>
      </c>
      <c r="GL70">
        <v>0</v>
      </c>
      <c r="GM70">
        <v>0</v>
      </c>
      <c r="GN70">
        <v>1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1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1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1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2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2</v>
      </c>
      <c r="JN70">
        <v>0</v>
      </c>
      <c r="JO70">
        <v>0</v>
      </c>
      <c r="JP70">
        <v>0</v>
      </c>
      <c r="JQ70">
        <v>1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1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1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3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1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1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1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1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2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0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1</v>
      </c>
      <c r="QB70">
        <v>0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1</v>
      </c>
      <c r="QR70">
        <v>0</v>
      </c>
      <c r="QS70">
        <v>0</v>
      </c>
      <c r="QT70">
        <v>1</v>
      </c>
      <c r="QU70">
        <v>0</v>
      </c>
      <c r="QV70">
        <v>0</v>
      </c>
      <c r="QW70">
        <v>0</v>
      </c>
      <c r="QX70">
        <v>0</v>
      </c>
      <c r="QY70">
        <v>0</v>
      </c>
    </row>
    <row r="71" spans="2:467" x14ac:dyDescent="0.4">
      <c r="B71" t="str">
        <f>"9784006033354"</f>
        <v>9784006033354</v>
      </c>
      <c r="C71" t="s">
        <v>739</v>
      </c>
      <c r="D71" t="s">
        <v>740</v>
      </c>
      <c r="E71" t="s">
        <v>741</v>
      </c>
      <c r="G71" t="s">
        <v>521</v>
      </c>
      <c r="H71" t="str">
        <f>"0140"</f>
        <v>0140</v>
      </c>
      <c r="I71" t="s">
        <v>481</v>
      </c>
      <c r="J71" t="s">
        <v>487</v>
      </c>
      <c r="K71" t="s">
        <v>703</v>
      </c>
      <c r="L71" s="1">
        <v>44940</v>
      </c>
      <c r="M71">
        <v>1040</v>
      </c>
      <c r="N71" t="str">
        <f>"404"</f>
        <v>404</v>
      </c>
      <c r="P71">
        <v>37</v>
      </c>
      <c r="Q71">
        <v>29</v>
      </c>
      <c r="R71">
        <v>0</v>
      </c>
      <c r="S71">
        <v>2</v>
      </c>
      <c r="T71">
        <v>1</v>
      </c>
      <c r="U71">
        <v>1</v>
      </c>
      <c r="V71">
        <v>0</v>
      </c>
      <c r="W71">
        <v>0</v>
      </c>
      <c r="X71">
        <v>0</v>
      </c>
      <c r="Y71">
        <v>1</v>
      </c>
      <c r="Z71">
        <v>0</v>
      </c>
      <c r="AA71">
        <v>1</v>
      </c>
      <c r="AB71">
        <v>0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1</v>
      </c>
      <c r="BF71">
        <v>0</v>
      </c>
      <c r="BG71">
        <v>1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1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5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1</v>
      </c>
      <c r="DC71">
        <v>1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2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1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1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1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1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1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1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3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1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1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1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1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1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1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1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1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</v>
      </c>
      <c r="QT71">
        <v>1</v>
      </c>
      <c r="QU71">
        <v>0</v>
      </c>
      <c r="QV71">
        <v>0</v>
      </c>
      <c r="QW71">
        <v>0</v>
      </c>
      <c r="QX71">
        <v>0</v>
      </c>
      <c r="QY71">
        <v>0</v>
      </c>
    </row>
    <row r="72" spans="2:467" hidden="1" x14ac:dyDescent="0.4">
      <c r="B72" t="str">
        <f>"9784087210729"</f>
        <v>9784087210729</v>
      </c>
      <c r="C72" t="s">
        <v>787</v>
      </c>
      <c r="D72" t="s">
        <v>788</v>
      </c>
      <c r="E72">
        <v>972</v>
      </c>
      <c r="G72" t="s">
        <v>536</v>
      </c>
      <c r="H72" t="str">
        <f>"0239"</f>
        <v>0239</v>
      </c>
      <c r="I72" t="s">
        <v>481</v>
      </c>
      <c r="J72" t="s">
        <v>482</v>
      </c>
      <c r="K72" t="s">
        <v>724</v>
      </c>
      <c r="L72" s="1">
        <v>43539</v>
      </c>
      <c r="M72">
        <v>900</v>
      </c>
      <c r="N72" t="str">
        <f>"726.1"</f>
        <v>726.1</v>
      </c>
      <c r="P72">
        <v>33</v>
      </c>
      <c r="Q72">
        <v>29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1</v>
      </c>
      <c r="BN72">
        <v>0</v>
      </c>
      <c r="BO72">
        <v>0</v>
      </c>
      <c r="BP72">
        <v>1</v>
      </c>
      <c r="BQ72">
        <v>0</v>
      </c>
      <c r="BR72">
        <v>1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1</v>
      </c>
      <c r="CI72">
        <v>1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1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1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1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2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1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1</v>
      </c>
      <c r="FZ72">
        <v>0</v>
      </c>
      <c r="GA72">
        <v>0</v>
      </c>
      <c r="GB72">
        <v>0</v>
      </c>
      <c r="GC72">
        <v>0</v>
      </c>
      <c r="GD72">
        <v>1</v>
      </c>
      <c r="GE72">
        <v>0</v>
      </c>
      <c r="GF72">
        <v>0</v>
      </c>
      <c r="GG72">
        <v>0</v>
      </c>
      <c r="GH72">
        <v>0</v>
      </c>
      <c r="GI72">
        <v>2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1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1</v>
      </c>
      <c r="IC72">
        <v>0</v>
      </c>
      <c r="ID72">
        <v>1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1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2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1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1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1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1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2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1</v>
      </c>
      <c r="OU72">
        <v>0</v>
      </c>
      <c r="OV72">
        <v>0</v>
      </c>
      <c r="OW72">
        <v>0</v>
      </c>
      <c r="OX72">
        <v>1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0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</row>
    <row r="73" spans="2:467" hidden="1" x14ac:dyDescent="0.4">
      <c r="B73" t="str">
        <f>"9784065274859"</f>
        <v>9784065274859</v>
      </c>
      <c r="C73" t="s">
        <v>553</v>
      </c>
      <c r="D73" t="s">
        <v>554</v>
      </c>
      <c r="E73">
        <v>2653</v>
      </c>
      <c r="G73" t="s">
        <v>548</v>
      </c>
      <c r="H73" t="str">
        <f>"0210"</f>
        <v>0210</v>
      </c>
      <c r="I73" t="s">
        <v>481</v>
      </c>
      <c r="J73" t="s">
        <v>482</v>
      </c>
      <c r="K73" t="s">
        <v>483</v>
      </c>
      <c r="L73" s="1">
        <v>44636</v>
      </c>
      <c r="M73">
        <v>900</v>
      </c>
      <c r="N73" t="str">
        <f>"135.5"</f>
        <v>135.5</v>
      </c>
      <c r="P73">
        <v>83</v>
      </c>
      <c r="Q73">
        <v>28</v>
      </c>
      <c r="R73">
        <v>0</v>
      </c>
      <c r="S73">
        <v>0</v>
      </c>
      <c r="T73">
        <v>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7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7</v>
      </c>
      <c r="CI73">
        <v>7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3</v>
      </c>
      <c r="CR73">
        <v>0</v>
      </c>
      <c r="CS73">
        <v>2</v>
      </c>
      <c r="CT73">
        <v>18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2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1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2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1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1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1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1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3</v>
      </c>
      <c r="HV73">
        <v>0</v>
      </c>
      <c r="HW73">
        <v>1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1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9</v>
      </c>
      <c r="JG73">
        <v>2</v>
      </c>
      <c r="JH73">
        <v>0</v>
      </c>
      <c r="JI73">
        <v>1</v>
      </c>
      <c r="JJ73">
        <v>0</v>
      </c>
      <c r="JK73">
        <v>0</v>
      </c>
      <c r="JL73">
        <v>0</v>
      </c>
      <c r="JM73">
        <v>4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1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1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1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2</v>
      </c>
      <c r="PL73">
        <v>0</v>
      </c>
      <c r="PM73">
        <v>1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</v>
      </c>
      <c r="PT73">
        <v>1</v>
      </c>
      <c r="PU73">
        <v>0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0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0</v>
      </c>
      <c r="QS73">
        <v>0</v>
      </c>
      <c r="QT73">
        <v>1</v>
      </c>
      <c r="QU73">
        <v>0</v>
      </c>
      <c r="QV73">
        <v>0</v>
      </c>
      <c r="QW73">
        <v>0</v>
      </c>
      <c r="QX73">
        <v>0</v>
      </c>
      <c r="QY73">
        <v>0</v>
      </c>
    </row>
    <row r="74" spans="2:467" x14ac:dyDescent="0.4">
      <c r="B74" t="str">
        <f>"9784044006341"</f>
        <v>9784044006341</v>
      </c>
      <c r="C74" t="s">
        <v>652</v>
      </c>
      <c r="D74" t="s">
        <v>653</v>
      </c>
      <c r="E74" t="s">
        <v>654</v>
      </c>
      <c r="G74" t="s">
        <v>597</v>
      </c>
      <c r="H74" t="str">
        <f>"0181"</f>
        <v>0181</v>
      </c>
      <c r="I74" t="s">
        <v>481</v>
      </c>
      <c r="J74" t="s">
        <v>487</v>
      </c>
      <c r="K74" t="s">
        <v>655</v>
      </c>
      <c r="L74" s="1">
        <v>44946</v>
      </c>
      <c r="M74">
        <v>1620</v>
      </c>
      <c r="N74" t="str">
        <f>"825"</f>
        <v>825</v>
      </c>
      <c r="P74">
        <v>51</v>
      </c>
      <c r="Q74">
        <v>28</v>
      </c>
      <c r="R74">
        <v>0</v>
      </c>
      <c r="S74">
        <v>0</v>
      </c>
      <c r="T74">
        <v>1</v>
      </c>
      <c r="U74">
        <v>1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1</v>
      </c>
      <c r="BH74">
        <v>0</v>
      </c>
      <c r="BI74">
        <v>0</v>
      </c>
      <c r="BJ74">
        <v>0</v>
      </c>
      <c r="BK74">
        <v>0</v>
      </c>
      <c r="BL74">
        <v>2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8</v>
      </c>
      <c r="CI74">
        <v>4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3</v>
      </c>
      <c r="CR74">
        <v>0</v>
      </c>
      <c r="CS74">
        <v>1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1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1</v>
      </c>
      <c r="FE74">
        <v>1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1</v>
      </c>
      <c r="GJ74">
        <v>0</v>
      </c>
      <c r="GK74">
        <v>0</v>
      </c>
      <c r="GL74">
        <v>0</v>
      </c>
      <c r="GM74">
        <v>0</v>
      </c>
      <c r="GN74">
        <v>1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1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1</v>
      </c>
      <c r="HV74">
        <v>1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1</v>
      </c>
      <c r="IE74">
        <v>0</v>
      </c>
      <c r="IF74">
        <v>1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1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8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1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2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1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1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2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2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1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1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</row>
    <row r="75" spans="2:467" x14ac:dyDescent="0.4">
      <c r="B75" t="str">
        <f>"9784065306772"</f>
        <v>9784065306772</v>
      </c>
      <c r="C75" t="s">
        <v>690</v>
      </c>
      <c r="D75" t="s">
        <v>691</v>
      </c>
      <c r="E75">
        <v>2748</v>
      </c>
      <c r="G75" t="s">
        <v>548</v>
      </c>
      <c r="H75" t="str">
        <f>"0122"</f>
        <v>0122</v>
      </c>
      <c r="I75" t="s">
        <v>481</v>
      </c>
      <c r="J75" t="s">
        <v>487</v>
      </c>
      <c r="K75" t="s">
        <v>579</v>
      </c>
      <c r="L75" s="1">
        <v>44938</v>
      </c>
      <c r="M75">
        <v>1000</v>
      </c>
      <c r="N75" t="str">
        <f>"164.22"</f>
        <v>164.22</v>
      </c>
      <c r="P75">
        <v>46</v>
      </c>
      <c r="Q75">
        <v>28</v>
      </c>
      <c r="R75">
        <v>0</v>
      </c>
      <c r="S75">
        <v>1</v>
      </c>
      <c r="T75">
        <v>1</v>
      </c>
      <c r="U75">
        <v>2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1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4</v>
      </c>
      <c r="CI75">
        <v>1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6</v>
      </c>
      <c r="CR75">
        <v>0</v>
      </c>
      <c r="CS75">
        <v>1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1</v>
      </c>
      <c r="DC75">
        <v>2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1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1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1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1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5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2</v>
      </c>
      <c r="JN75">
        <v>0</v>
      </c>
      <c r="JO75">
        <v>0</v>
      </c>
      <c r="JP75">
        <v>0</v>
      </c>
      <c r="JQ75">
        <v>2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1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1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1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1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2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1</v>
      </c>
      <c r="NZ75">
        <v>0</v>
      </c>
      <c r="OA75">
        <v>0</v>
      </c>
      <c r="OB75">
        <v>2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1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1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1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</row>
    <row r="76" spans="2:467" hidden="1" x14ac:dyDescent="0.4">
      <c r="B76" t="str">
        <f>"9784121027313"</f>
        <v>9784121027313</v>
      </c>
      <c r="C76" t="s">
        <v>730</v>
      </c>
      <c r="D76" t="s">
        <v>731</v>
      </c>
      <c r="E76">
        <v>2731</v>
      </c>
      <c r="G76" t="s">
        <v>540</v>
      </c>
      <c r="H76" t="str">
        <f>"1245"</f>
        <v>1245</v>
      </c>
      <c r="I76" t="s">
        <v>541</v>
      </c>
      <c r="J76" t="s">
        <v>482</v>
      </c>
      <c r="K76" t="s">
        <v>593</v>
      </c>
      <c r="L76" s="1">
        <v>44914</v>
      </c>
      <c r="M76">
        <v>980</v>
      </c>
      <c r="N76" t="str">
        <f>"467"</f>
        <v>467</v>
      </c>
      <c r="P76">
        <v>39</v>
      </c>
      <c r="Q76">
        <v>28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2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1</v>
      </c>
      <c r="BC76">
        <v>0</v>
      </c>
      <c r="BD76">
        <v>1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4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1</v>
      </c>
      <c r="CR76">
        <v>0</v>
      </c>
      <c r="CS76">
        <v>1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1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1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1</v>
      </c>
      <c r="GJ76">
        <v>0</v>
      </c>
      <c r="GK76">
        <v>0</v>
      </c>
      <c r="GL76">
        <v>0</v>
      </c>
      <c r="GM76">
        <v>0</v>
      </c>
      <c r="GN76">
        <v>2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1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1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1</v>
      </c>
      <c r="HV76">
        <v>1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2</v>
      </c>
      <c r="IS76">
        <v>0</v>
      </c>
      <c r="IT76">
        <v>1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3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1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2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1</v>
      </c>
      <c r="NZ76">
        <v>0</v>
      </c>
      <c r="OA76">
        <v>0</v>
      </c>
      <c r="OB76">
        <v>2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1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1</v>
      </c>
      <c r="OY76">
        <v>1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1</v>
      </c>
      <c r="QL76">
        <v>0</v>
      </c>
      <c r="QM76">
        <v>0</v>
      </c>
      <c r="QN76">
        <v>0</v>
      </c>
      <c r="QO76">
        <v>0</v>
      </c>
      <c r="QP76">
        <v>0</v>
      </c>
      <c r="QQ76">
        <v>1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</row>
    <row r="77" spans="2:467" hidden="1" x14ac:dyDescent="0.4">
      <c r="B77" t="str">
        <f>"9784065299814"</f>
        <v>9784065299814</v>
      </c>
      <c r="C77" t="s">
        <v>744</v>
      </c>
      <c r="D77" t="s">
        <v>745</v>
      </c>
      <c r="E77" t="s">
        <v>746</v>
      </c>
      <c r="G77" t="s">
        <v>548</v>
      </c>
      <c r="H77" t="str">
        <f>"0242"</f>
        <v>0242</v>
      </c>
      <c r="I77" t="s">
        <v>481</v>
      </c>
      <c r="J77" t="s">
        <v>482</v>
      </c>
      <c r="K77" t="s">
        <v>545</v>
      </c>
      <c r="L77" s="1">
        <v>44881</v>
      </c>
      <c r="M77">
        <v>1100</v>
      </c>
      <c r="N77" t="str">
        <f>"421.3"</f>
        <v>421.3</v>
      </c>
      <c r="P77">
        <v>37</v>
      </c>
      <c r="Q77">
        <v>28</v>
      </c>
      <c r="R77">
        <v>0</v>
      </c>
      <c r="S77">
        <v>0</v>
      </c>
      <c r="T77">
        <v>0</v>
      </c>
      <c r="U77">
        <v>1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1</v>
      </c>
      <c r="BC77">
        <v>0</v>
      </c>
      <c r="BD77">
        <v>0</v>
      </c>
      <c r="BE77">
        <v>0</v>
      </c>
      <c r="BF77">
        <v>0</v>
      </c>
      <c r="BG77">
        <v>1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1</v>
      </c>
      <c r="BO77">
        <v>2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2</v>
      </c>
      <c r="CI77">
        <v>0</v>
      </c>
      <c r="CJ77">
        <v>0</v>
      </c>
      <c r="CK77">
        <v>1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1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1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1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2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1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1</v>
      </c>
      <c r="FZ77">
        <v>0</v>
      </c>
      <c r="GA77">
        <v>1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1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2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1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2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1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1</v>
      </c>
      <c r="LS77">
        <v>0</v>
      </c>
      <c r="LT77">
        <v>0</v>
      </c>
      <c r="LU77">
        <v>0</v>
      </c>
      <c r="LV77">
        <v>0</v>
      </c>
      <c r="LW77">
        <v>1</v>
      </c>
      <c r="LX77">
        <v>1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1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5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1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1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1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</row>
    <row r="78" spans="2:467" hidden="1" x14ac:dyDescent="0.4">
      <c r="B78" t="str">
        <f>"9784087212488"</f>
        <v>9784087212488</v>
      </c>
      <c r="C78" t="s">
        <v>818</v>
      </c>
      <c r="D78" t="s">
        <v>819</v>
      </c>
      <c r="E78" t="s">
        <v>820</v>
      </c>
      <c r="G78" t="s">
        <v>536</v>
      </c>
      <c r="H78" t="str">
        <f>"0212"</f>
        <v>0212</v>
      </c>
      <c r="I78" t="s">
        <v>481</v>
      </c>
      <c r="J78" t="s">
        <v>482</v>
      </c>
      <c r="K78" t="s">
        <v>517</v>
      </c>
      <c r="L78" s="1">
        <v>44940</v>
      </c>
      <c r="M78">
        <v>940</v>
      </c>
      <c r="N78" t="str">
        <f>"151.2"</f>
        <v>151.2</v>
      </c>
      <c r="P78">
        <v>31</v>
      </c>
      <c r="Q78">
        <v>28</v>
      </c>
      <c r="R78">
        <v>0</v>
      </c>
      <c r="S78">
        <v>1</v>
      </c>
      <c r="T78">
        <v>0</v>
      </c>
      <c r="U78">
        <v>1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1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1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1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1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1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1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1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2</v>
      </c>
      <c r="JC78">
        <v>0</v>
      </c>
      <c r="JD78">
        <v>0</v>
      </c>
      <c r="JE78">
        <v>0</v>
      </c>
      <c r="JF78">
        <v>3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1</v>
      </c>
      <c r="JN78">
        <v>0</v>
      </c>
      <c r="JO78">
        <v>0</v>
      </c>
      <c r="JP78">
        <v>0</v>
      </c>
      <c r="JQ78">
        <v>1</v>
      </c>
      <c r="JR78">
        <v>1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1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1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1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1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1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1</v>
      </c>
      <c r="OT78">
        <v>1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1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0</v>
      </c>
      <c r="PU78">
        <v>0</v>
      </c>
      <c r="PV78">
        <v>0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</row>
    <row r="79" spans="2:467" hidden="1" x14ac:dyDescent="0.4">
      <c r="B79" t="str">
        <f>"9784005009626"</f>
        <v>9784005009626</v>
      </c>
      <c r="C79" t="s">
        <v>832</v>
      </c>
      <c r="D79" t="s">
        <v>833</v>
      </c>
      <c r="E79">
        <v>962</v>
      </c>
      <c r="G79" t="s">
        <v>521</v>
      </c>
      <c r="H79" t="str">
        <f>"0261"</f>
        <v>0261</v>
      </c>
      <c r="I79" t="s">
        <v>481</v>
      </c>
      <c r="J79" t="s">
        <v>482</v>
      </c>
      <c r="K79" t="s">
        <v>766</v>
      </c>
      <c r="L79" s="1">
        <v>44949</v>
      </c>
      <c r="M79">
        <v>860</v>
      </c>
      <c r="N79" t="str">
        <f>"K583"</f>
        <v>K583</v>
      </c>
      <c r="P79">
        <v>30</v>
      </c>
      <c r="Q79">
        <v>27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1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2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1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1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1</v>
      </c>
      <c r="CZ79">
        <v>0</v>
      </c>
      <c r="DA79">
        <v>0</v>
      </c>
      <c r="DB79">
        <v>2</v>
      </c>
      <c r="DC79">
        <v>2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1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1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1</v>
      </c>
      <c r="HN79">
        <v>0</v>
      </c>
      <c r="HO79">
        <v>0</v>
      </c>
      <c r="HP79">
        <v>1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1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1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</v>
      </c>
      <c r="JN79">
        <v>0</v>
      </c>
      <c r="JO79">
        <v>1</v>
      </c>
      <c r="JP79">
        <v>0</v>
      </c>
      <c r="JQ79">
        <v>0</v>
      </c>
      <c r="JR79">
        <v>1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1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1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1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1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1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1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1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</row>
    <row r="80" spans="2:467" x14ac:dyDescent="0.4">
      <c r="B80" t="str">
        <f>"9784003390122"</f>
        <v>9784003390122</v>
      </c>
      <c r="C80" t="s">
        <v>727</v>
      </c>
      <c r="D80" t="s">
        <v>728</v>
      </c>
      <c r="E80" t="s">
        <v>729</v>
      </c>
      <c r="G80" t="s">
        <v>521</v>
      </c>
      <c r="H80" t="str">
        <f>"0147"</f>
        <v>0147</v>
      </c>
      <c r="I80" t="s">
        <v>481</v>
      </c>
      <c r="J80" t="s">
        <v>487</v>
      </c>
      <c r="K80" t="s">
        <v>670</v>
      </c>
      <c r="L80" s="1">
        <v>44911</v>
      </c>
      <c r="M80">
        <v>1010</v>
      </c>
      <c r="N80" t="str">
        <f>"490.2"</f>
        <v>490.2</v>
      </c>
      <c r="P80">
        <v>39</v>
      </c>
      <c r="Q80">
        <v>26</v>
      </c>
      <c r="R80">
        <v>0</v>
      </c>
      <c r="S80">
        <v>0</v>
      </c>
      <c r="T80">
        <v>0</v>
      </c>
      <c r="U80">
        <v>0</v>
      </c>
      <c r="V80">
        <v>0</v>
      </c>
      <c r="W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1</v>
      </c>
      <c r="BH80">
        <v>0</v>
      </c>
      <c r="BI80">
        <v>0</v>
      </c>
      <c r="BJ80">
        <v>0</v>
      </c>
      <c r="BK80">
        <v>0</v>
      </c>
      <c r="BL80">
        <v>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3</v>
      </c>
      <c r="CI80">
        <v>1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1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1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1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3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1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1</v>
      </c>
      <c r="FU80">
        <v>0</v>
      </c>
      <c r="FV80">
        <v>1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1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2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6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2</v>
      </c>
      <c r="JN80">
        <v>0</v>
      </c>
      <c r="JO80">
        <v>0</v>
      </c>
      <c r="JP80">
        <v>0</v>
      </c>
      <c r="JQ80">
        <v>1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1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1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3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1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1</v>
      </c>
      <c r="PH80">
        <v>1</v>
      </c>
      <c r="PI80">
        <v>0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0</v>
      </c>
      <c r="PV80">
        <v>0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1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1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1</v>
      </c>
      <c r="QU80">
        <v>0</v>
      </c>
      <c r="QV80">
        <v>0</v>
      </c>
      <c r="QW80">
        <v>0</v>
      </c>
      <c r="QX80">
        <v>0</v>
      </c>
      <c r="QY80">
        <v>0</v>
      </c>
    </row>
    <row r="81" spans="2:467" hidden="1" x14ac:dyDescent="0.4">
      <c r="B81" t="str">
        <f>"9784121027290"</f>
        <v>9784121027290</v>
      </c>
      <c r="C81" t="s">
        <v>747</v>
      </c>
      <c r="D81" t="s">
        <v>748</v>
      </c>
      <c r="E81">
        <v>2729</v>
      </c>
      <c r="G81" t="s">
        <v>540</v>
      </c>
      <c r="H81" t="str">
        <f>"1221"</f>
        <v>1221</v>
      </c>
      <c r="I81" t="s">
        <v>541</v>
      </c>
      <c r="J81" t="s">
        <v>482</v>
      </c>
      <c r="K81" t="s">
        <v>620</v>
      </c>
      <c r="L81" s="1">
        <v>44883</v>
      </c>
      <c r="M81">
        <v>840</v>
      </c>
      <c r="N81" t="str">
        <f>"210.47"</f>
        <v>210.47</v>
      </c>
      <c r="P81">
        <v>37</v>
      </c>
      <c r="Q81">
        <v>26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1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3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1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1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1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1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1</v>
      </c>
      <c r="GD81">
        <v>1</v>
      </c>
      <c r="GE81">
        <v>0</v>
      </c>
      <c r="GF81">
        <v>0</v>
      </c>
      <c r="GG81">
        <v>0</v>
      </c>
      <c r="GH81">
        <v>0</v>
      </c>
      <c r="GI81">
        <v>1</v>
      </c>
      <c r="GJ81">
        <v>0</v>
      </c>
      <c r="GK81">
        <v>0</v>
      </c>
      <c r="GL81">
        <v>0</v>
      </c>
      <c r="GM81">
        <v>0</v>
      </c>
      <c r="GN81">
        <v>1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1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1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2</v>
      </c>
      <c r="HZ81">
        <v>0</v>
      </c>
      <c r="IA81">
        <v>0</v>
      </c>
      <c r="IB81">
        <v>0</v>
      </c>
      <c r="IC81">
        <v>0</v>
      </c>
      <c r="ID81">
        <v>1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6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3</v>
      </c>
      <c r="JN81">
        <v>0</v>
      </c>
      <c r="JO81">
        <v>0</v>
      </c>
      <c r="JP81">
        <v>0</v>
      </c>
      <c r="JQ81">
        <v>1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1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1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1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1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1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1</v>
      </c>
      <c r="QD81">
        <v>0</v>
      </c>
      <c r="QE81">
        <v>0</v>
      </c>
      <c r="QF81">
        <v>0</v>
      </c>
      <c r="QG81">
        <v>1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1</v>
      </c>
      <c r="QU81">
        <v>0</v>
      </c>
      <c r="QV81">
        <v>0</v>
      </c>
      <c r="QW81">
        <v>0</v>
      </c>
      <c r="QX81">
        <v>0</v>
      </c>
      <c r="QY81">
        <v>0</v>
      </c>
    </row>
    <row r="82" spans="2:467" hidden="1" x14ac:dyDescent="0.4">
      <c r="B82" t="str">
        <f>"9784022952028"</f>
        <v>9784022952028</v>
      </c>
      <c r="C82" t="s">
        <v>774</v>
      </c>
      <c r="D82" t="s">
        <v>775</v>
      </c>
      <c r="E82">
        <v>890</v>
      </c>
      <c r="G82" t="s">
        <v>498</v>
      </c>
      <c r="H82" t="str">
        <f>"0236"</f>
        <v>0236</v>
      </c>
      <c r="I82" t="s">
        <v>481</v>
      </c>
      <c r="J82" t="s">
        <v>482</v>
      </c>
      <c r="K82" t="s">
        <v>505</v>
      </c>
      <c r="L82" s="1">
        <v>44908</v>
      </c>
      <c r="M82">
        <v>850</v>
      </c>
      <c r="N82" t="str">
        <f>"304"</f>
        <v>304</v>
      </c>
      <c r="P82">
        <v>34</v>
      </c>
      <c r="Q82">
        <v>26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2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3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2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2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1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1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1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1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1</v>
      </c>
      <c r="IU82">
        <v>0</v>
      </c>
      <c r="IV82">
        <v>0</v>
      </c>
      <c r="IW82">
        <v>0</v>
      </c>
      <c r="IX82">
        <v>0</v>
      </c>
      <c r="IY82">
        <v>1</v>
      </c>
      <c r="IZ82">
        <v>0</v>
      </c>
      <c r="JA82">
        <v>1</v>
      </c>
      <c r="JB82">
        <v>0</v>
      </c>
      <c r="JC82">
        <v>0</v>
      </c>
      <c r="JD82">
        <v>0</v>
      </c>
      <c r="JE82">
        <v>0</v>
      </c>
      <c r="JF82">
        <v>1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1</v>
      </c>
      <c r="JS82">
        <v>0</v>
      </c>
      <c r="JT82">
        <v>0</v>
      </c>
      <c r="JU82">
        <v>1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1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1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1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1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2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2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1</v>
      </c>
      <c r="NZ82">
        <v>0</v>
      </c>
      <c r="OA82">
        <v>0</v>
      </c>
      <c r="OB82">
        <v>1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2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1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</row>
    <row r="83" spans="2:467" hidden="1" x14ac:dyDescent="0.4">
      <c r="B83" t="str">
        <f>"9784480075321"</f>
        <v>9784480075321</v>
      </c>
      <c r="C83" t="s">
        <v>785</v>
      </c>
      <c r="D83" t="s">
        <v>786</v>
      </c>
      <c r="E83">
        <v>1674</v>
      </c>
      <c r="G83" t="s">
        <v>501</v>
      </c>
      <c r="H83" t="str">
        <f>"0210"</f>
        <v>0210</v>
      </c>
      <c r="I83" t="s">
        <v>481</v>
      </c>
      <c r="J83" t="s">
        <v>482</v>
      </c>
      <c r="K83" t="s">
        <v>483</v>
      </c>
      <c r="L83" s="1">
        <v>44903</v>
      </c>
      <c r="M83">
        <v>1000</v>
      </c>
      <c r="N83" t="str">
        <f>"309.021"</f>
        <v>309.021</v>
      </c>
      <c r="P83">
        <v>33</v>
      </c>
      <c r="Q83">
        <v>26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2</v>
      </c>
      <c r="CI83">
        <v>2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1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1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2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1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1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1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1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1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1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1</v>
      </c>
      <c r="JQ83">
        <v>3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1</v>
      </c>
      <c r="KS83">
        <v>0</v>
      </c>
      <c r="KT83">
        <v>0</v>
      </c>
      <c r="KU83">
        <v>0</v>
      </c>
      <c r="KV83">
        <v>1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1</v>
      </c>
      <c r="LW83">
        <v>2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1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1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2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1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1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1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1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1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</row>
    <row r="84" spans="2:467" hidden="1" x14ac:dyDescent="0.4">
      <c r="B84" t="str">
        <f>"9784065308660"</f>
        <v>9784065308660</v>
      </c>
      <c r="C84" t="s">
        <v>792</v>
      </c>
      <c r="D84" t="s">
        <v>793</v>
      </c>
      <c r="E84">
        <v>2693</v>
      </c>
      <c r="G84" t="s">
        <v>548</v>
      </c>
      <c r="H84" t="str">
        <f>"0273"</f>
        <v>0273</v>
      </c>
      <c r="I84" t="s">
        <v>481</v>
      </c>
      <c r="J84" t="s">
        <v>482</v>
      </c>
      <c r="K84" t="s">
        <v>794</v>
      </c>
      <c r="L84" s="1">
        <v>44944</v>
      </c>
      <c r="M84">
        <v>920</v>
      </c>
      <c r="N84" t="str">
        <f>"760"</f>
        <v>760</v>
      </c>
      <c r="P84">
        <v>32</v>
      </c>
      <c r="Q84">
        <v>26</v>
      </c>
      <c r="R84">
        <v>0</v>
      </c>
      <c r="S84">
        <v>0</v>
      </c>
      <c r="T84">
        <v>0</v>
      </c>
      <c r="U84">
        <v>1</v>
      </c>
      <c r="V84">
        <v>0</v>
      </c>
      <c r="W84">
        <v>0</v>
      </c>
      <c r="X84">
        <v>0</v>
      </c>
      <c r="Y84">
        <v>1</v>
      </c>
      <c r="Z84">
        <v>0</v>
      </c>
      <c r="AA84">
        <v>1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1</v>
      </c>
      <c r="BH84">
        <v>0</v>
      </c>
      <c r="BI84">
        <v>0</v>
      </c>
      <c r="BJ84">
        <v>0</v>
      </c>
      <c r="BK84">
        <v>0</v>
      </c>
      <c r="BL84">
        <v>1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1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5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1</v>
      </c>
      <c r="FG84">
        <v>0</v>
      </c>
      <c r="FH84">
        <v>1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1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1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1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1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1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3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1</v>
      </c>
      <c r="JN84">
        <v>0</v>
      </c>
      <c r="JO84">
        <v>0</v>
      </c>
      <c r="JP84">
        <v>0</v>
      </c>
      <c r="JQ84">
        <v>0</v>
      </c>
      <c r="JR84">
        <v>1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1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1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1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1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1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1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</row>
    <row r="85" spans="2:467" x14ac:dyDescent="0.4">
      <c r="B85" t="str">
        <f>"9784101017617"</f>
        <v>9784101017617</v>
      </c>
      <c r="C85" t="s">
        <v>795</v>
      </c>
      <c r="D85" t="s">
        <v>796</v>
      </c>
      <c r="E85" t="s">
        <v>797</v>
      </c>
      <c r="G85" t="s">
        <v>516</v>
      </c>
      <c r="H85" t="str">
        <f>"0193"</f>
        <v>0193</v>
      </c>
      <c r="I85" t="s">
        <v>481</v>
      </c>
      <c r="J85" t="s">
        <v>487</v>
      </c>
      <c r="K85" t="s">
        <v>488</v>
      </c>
      <c r="L85" s="1">
        <v>43859</v>
      </c>
      <c r="M85">
        <v>490</v>
      </c>
      <c r="N85" t="str">
        <f>"913.6"</f>
        <v>913.6</v>
      </c>
      <c r="P85">
        <v>32</v>
      </c>
      <c r="Q85">
        <v>26</v>
      </c>
      <c r="R85">
        <v>0</v>
      </c>
      <c r="S85">
        <v>0</v>
      </c>
      <c r="T85">
        <v>0</v>
      </c>
      <c r="U85">
        <v>0</v>
      </c>
      <c r="V85">
        <v>0</v>
      </c>
      <c r="W85">
        <v>1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1</v>
      </c>
      <c r="BC85">
        <v>0</v>
      </c>
      <c r="BD85">
        <v>0</v>
      </c>
      <c r="BE85">
        <v>1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2</v>
      </c>
      <c r="BN85">
        <v>0</v>
      </c>
      <c r="BO85">
        <v>0</v>
      </c>
      <c r="BP85">
        <v>0</v>
      </c>
      <c r="BQ85">
        <v>0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1</v>
      </c>
      <c r="CI85">
        <v>1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2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3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1</v>
      </c>
      <c r="FP85">
        <v>0</v>
      </c>
      <c r="FQ85">
        <v>0</v>
      </c>
      <c r="FR85">
        <v>0</v>
      </c>
      <c r="FS85">
        <v>0</v>
      </c>
      <c r="FT85">
        <v>1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1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1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1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1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2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1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1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1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1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1</v>
      </c>
      <c r="NS85">
        <v>0</v>
      </c>
      <c r="NT85">
        <v>0</v>
      </c>
      <c r="NU85">
        <v>0</v>
      </c>
      <c r="NV85">
        <v>1</v>
      </c>
      <c r="NW85">
        <v>0</v>
      </c>
      <c r="NX85">
        <v>0</v>
      </c>
      <c r="NY85">
        <v>2</v>
      </c>
      <c r="NZ85">
        <v>0</v>
      </c>
      <c r="OA85">
        <v>0</v>
      </c>
      <c r="OB85">
        <v>0</v>
      </c>
      <c r="OC85">
        <v>0</v>
      </c>
      <c r="OD85">
        <v>1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  <c r="PG85">
        <v>0</v>
      </c>
      <c r="PH85">
        <v>0</v>
      </c>
      <c r="PI85">
        <v>0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0</v>
      </c>
      <c r="PT85">
        <v>1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1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</row>
    <row r="86" spans="2:467" x14ac:dyDescent="0.4">
      <c r="B86" t="str">
        <f>"9784101250335"</f>
        <v>9784101250335</v>
      </c>
      <c r="C86" t="s">
        <v>802</v>
      </c>
      <c r="D86" t="s">
        <v>803</v>
      </c>
      <c r="E86" t="s">
        <v>804</v>
      </c>
      <c r="G86" t="s">
        <v>516</v>
      </c>
      <c r="H86" t="str">
        <f>"0193"</f>
        <v>0193</v>
      </c>
      <c r="I86" t="s">
        <v>481</v>
      </c>
      <c r="J86" t="s">
        <v>487</v>
      </c>
      <c r="K86" t="s">
        <v>488</v>
      </c>
      <c r="L86" s="1">
        <v>44739</v>
      </c>
      <c r="M86">
        <v>750</v>
      </c>
      <c r="N86" t="str">
        <f>"913.6"</f>
        <v>913.6</v>
      </c>
      <c r="P86">
        <v>32</v>
      </c>
      <c r="Q86">
        <v>26</v>
      </c>
      <c r="R86">
        <v>0</v>
      </c>
      <c r="S86">
        <v>0</v>
      </c>
      <c r="T86">
        <v>0</v>
      </c>
      <c r="U86">
        <v>0</v>
      </c>
      <c r="V86">
        <v>0</v>
      </c>
      <c r="W86">
        <v>3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1</v>
      </c>
      <c r="BF86">
        <v>0</v>
      </c>
      <c r="BG86">
        <v>0</v>
      </c>
      <c r="BH86">
        <v>0</v>
      </c>
      <c r="BI86">
        <v>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2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1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3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1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1</v>
      </c>
      <c r="FB86">
        <v>0</v>
      </c>
      <c r="FC86">
        <v>0</v>
      </c>
      <c r="FD86">
        <v>1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1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1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1</v>
      </c>
      <c r="GJ86">
        <v>0</v>
      </c>
      <c r="GK86">
        <v>0</v>
      </c>
      <c r="GL86">
        <v>0</v>
      </c>
      <c r="GM86">
        <v>0</v>
      </c>
      <c r="GN86">
        <v>1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1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1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2</v>
      </c>
      <c r="JR86">
        <v>1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1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1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1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1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1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1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1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1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</row>
    <row r="87" spans="2:467" hidden="1" x14ac:dyDescent="0.4">
      <c r="B87" t="str">
        <f>"9784334046422"</f>
        <v>9784334046422</v>
      </c>
      <c r="C87" t="s">
        <v>808</v>
      </c>
      <c r="D87" t="s">
        <v>809</v>
      </c>
      <c r="E87">
        <v>1235</v>
      </c>
      <c r="G87" t="s">
        <v>676</v>
      </c>
      <c r="H87" t="str">
        <f>"0211"</f>
        <v>0211</v>
      </c>
      <c r="I87" t="s">
        <v>481</v>
      </c>
      <c r="J87" t="s">
        <v>482</v>
      </c>
      <c r="K87" t="s">
        <v>610</v>
      </c>
      <c r="L87" s="1">
        <v>44908</v>
      </c>
      <c r="M87">
        <v>880</v>
      </c>
      <c r="N87" t="str">
        <f>"146.8"</f>
        <v>146.8</v>
      </c>
      <c r="P87">
        <v>31</v>
      </c>
      <c r="Q87">
        <v>26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2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2</v>
      </c>
      <c r="BC87">
        <v>0</v>
      </c>
      <c r="BD87">
        <v>1</v>
      </c>
      <c r="BE87">
        <v>0</v>
      </c>
      <c r="BF87">
        <v>0</v>
      </c>
      <c r="BG87">
        <v>1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1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1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1</v>
      </c>
      <c r="DD87">
        <v>0</v>
      </c>
      <c r="DE87">
        <v>0</v>
      </c>
      <c r="DF87">
        <v>1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2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1</v>
      </c>
      <c r="FE87">
        <v>0</v>
      </c>
      <c r="FF87">
        <v>0</v>
      </c>
      <c r="FG87">
        <v>0</v>
      </c>
      <c r="FH87">
        <v>1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1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1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1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1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1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2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1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1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1</v>
      </c>
      <c r="OH87">
        <v>0</v>
      </c>
      <c r="OI87">
        <v>0</v>
      </c>
      <c r="OJ87">
        <v>0</v>
      </c>
      <c r="OK87">
        <v>0</v>
      </c>
      <c r="OL87">
        <v>1</v>
      </c>
      <c r="OM87">
        <v>1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1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0</v>
      </c>
      <c r="PV87">
        <v>0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2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</row>
    <row r="88" spans="2:467" hidden="1" x14ac:dyDescent="0.4">
      <c r="B88" t="str">
        <f>"9784121006240"</f>
        <v>9784121006240</v>
      </c>
      <c r="C88" t="s">
        <v>701</v>
      </c>
      <c r="D88" t="s">
        <v>702</v>
      </c>
      <c r="E88">
        <v>624</v>
      </c>
      <c r="G88" t="s">
        <v>540</v>
      </c>
      <c r="H88" t="str">
        <f>"1240"</f>
        <v>1240</v>
      </c>
      <c r="I88" t="s">
        <v>541</v>
      </c>
      <c r="J88" t="s">
        <v>482</v>
      </c>
      <c r="K88" t="s">
        <v>703</v>
      </c>
      <c r="L88" s="1">
        <v>29830</v>
      </c>
      <c r="M88">
        <v>700</v>
      </c>
      <c r="N88" t="str">
        <f>"407"</f>
        <v>407</v>
      </c>
      <c r="P88">
        <v>44</v>
      </c>
      <c r="Q88">
        <v>25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</v>
      </c>
      <c r="AJ88">
        <v>0</v>
      </c>
      <c r="AK88">
        <v>0</v>
      </c>
      <c r="AL88">
        <v>10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2</v>
      </c>
      <c r="CI88">
        <v>3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1</v>
      </c>
      <c r="CR88">
        <v>1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1</v>
      </c>
      <c r="DP88">
        <v>0</v>
      </c>
      <c r="DQ88">
        <v>0</v>
      </c>
      <c r="DR88">
        <v>0</v>
      </c>
      <c r="DS88">
        <v>0</v>
      </c>
      <c r="DT88">
        <v>1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1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1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1</v>
      </c>
      <c r="FZ88">
        <v>1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1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3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1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1</v>
      </c>
      <c r="LQ88">
        <v>1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4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1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2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1</v>
      </c>
      <c r="PT88">
        <v>0</v>
      </c>
      <c r="PU88">
        <v>0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1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</v>
      </c>
      <c r="QH88">
        <v>0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1</v>
      </c>
      <c r="QU88">
        <v>0</v>
      </c>
      <c r="QV88">
        <v>0</v>
      </c>
      <c r="QW88">
        <v>0</v>
      </c>
      <c r="QX88">
        <v>0</v>
      </c>
      <c r="QY88">
        <v>0</v>
      </c>
    </row>
    <row r="89" spans="2:467" hidden="1" x14ac:dyDescent="0.4">
      <c r="B89" t="str">
        <f>"9784121027221"</f>
        <v>9784121027221</v>
      </c>
      <c r="C89" t="s">
        <v>742</v>
      </c>
      <c r="D89" t="s">
        <v>743</v>
      </c>
      <c r="E89">
        <v>2722</v>
      </c>
      <c r="G89" t="s">
        <v>540</v>
      </c>
      <c r="H89" t="str">
        <f>"1231"</f>
        <v>1231</v>
      </c>
      <c r="I89" t="s">
        <v>541</v>
      </c>
      <c r="J89" t="s">
        <v>482</v>
      </c>
      <c r="K89" t="s">
        <v>502</v>
      </c>
      <c r="L89" s="1">
        <v>44853</v>
      </c>
      <c r="M89">
        <v>860</v>
      </c>
      <c r="N89" t="str">
        <f>"311.13"</f>
        <v>311.13</v>
      </c>
      <c r="P89">
        <v>37</v>
      </c>
      <c r="Q89">
        <v>25</v>
      </c>
      <c r="R89">
        <v>0</v>
      </c>
      <c r="S89">
        <v>0</v>
      </c>
      <c r="T89">
        <v>0</v>
      </c>
      <c r="U89">
        <v>1</v>
      </c>
      <c r="V89">
        <v>0</v>
      </c>
      <c r="W89">
        <v>0</v>
      </c>
      <c r="X89">
        <v>0</v>
      </c>
      <c r="Y89">
        <v>1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1</v>
      </c>
      <c r="BM89">
        <v>0</v>
      </c>
      <c r="BN89">
        <v>1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8</v>
      </c>
      <c r="CI89">
        <v>2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1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1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1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1</v>
      </c>
      <c r="HV89">
        <v>1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2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2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1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1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1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1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3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1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1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1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</v>
      </c>
      <c r="PV89">
        <v>1</v>
      </c>
      <c r="PW89">
        <v>0</v>
      </c>
      <c r="PX89">
        <v>0</v>
      </c>
      <c r="PY89">
        <v>0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1</v>
      </c>
      <c r="QQ89">
        <v>0</v>
      </c>
      <c r="QR89">
        <v>0</v>
      </c>
      <c r="QS89">
        <v>0</v>
      </c>
      <c r="QT89">
        <v>1</v>
      </c>
      <c r="QU89">
        <v>0</v>
      </c>
      <c r="QV89">
        <v>0</v>
      </c>
      <c r="QW89">
        <v>0</v>
      </c>
      <c r="QX89">
        <v>1</v>
      </c>
      <c r="QY89">
        <v>0</v>
      </c>
    </row>
    <row r="90" spans="2:467" hidden="1" x14ac:dyDescent="0.4">
      <c r="B90" t="str">
        <f>"9784065305386"</f>
        <v>9784065305386</v>
      </c>
      <c r="C90" t="s">
        <v>754</v>
      </c>
      <c r="D90" t="s">
        <v>755</v>
      </c>
      <c r="E90">
        <v>2692</v>
      </c>
      <c r="G90" t="s">
        <v>548</v>
      </c>
      <c r="H90" t="str">
        <f>"0247"</f>
        <v>0247</v>
      </c>
      <c r="I90" t="s">
        <v>481</v>
      </c>
      <c r="J90" t="s">
        <v>482</v>
      </c>
      <c r="K90" t="s">
        <v>670</v>
      </c>
      <c r="L90" s="1">
        <v>44944</v>
      </c>
      <c r="M90">
        <v>1000</v>
      </c>
      <c r="N90" t="str">
        <f>"143"</f>
        <v>143</v>
      </c>
      <c r="P90">
        <v>36</v>
      </c>
      <c r="Q90">
        <v>25</v>
      </c>
      <c r="R90">
        <v>0</v>
      </c>
      <c r="S90">
        <v>0</v>
      </c>
      <c r="T90">
        <v>0</v>
      </c>
      <c r="U90">
        <v>1</v>
      </c>
      <c r="V90">
        <v>0</v>
      </c>
      <c r="W90">
        <v>0</v>
      </c>
      <c r="X90">
        <v>0</v>
      </c>
      <c r="Y90">
        <v>1</v>
      </c>
      <c r="Z90">
        <v>0</v>
      </c>
      <c r="AA90">
        <v>1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4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6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1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1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1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1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1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1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1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1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4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1</v>
      </c>
      <c r="JN90">
        <v>0</v>
      </c>
      <c r="JO90">
        <v>0</v>
      </c>
      <c r="JP90">
        <v>0</v>
      </c>
      <c r="JQ90">
        <v>0</v>
      </c>
      <c r="JR90">
        <v>1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1</v>
      </c>
      <c r="NL90">
        <v>1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</v>
      </c>
      <c r="NY90">
        <v>0</v>
      </c>
      <c r="NZ90">
        <v>0</v>
      </c>
      <c r="OA90">
        <v>0</v>
      </c>
      <c r="OB90">
        <v>1</v>
      </c>
      <c r="OC90">
        <v>0</v>
      </c>
      <c r="OD90">
        <v>0</v>
      </c>
      <c r="OE90">
        <v>0</v>
      </c>
      <c r="OF90">
        <v>0</v>
      </c>
      <c r="OG90">
        <v>1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1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1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</row>
    <row r="91" spans="2:467" x14ac:dyDescent="0.4">
      <c r="B91" t="str">
        <f>"9784087444735"</f>
        <v>9784087444735</v>
      </c>
      <c r="C91" t="s">
        <v>762</v>
      </c>
      <c r="D91" t="s">
        <v>685</v>
      </c>
      <c r="E91" t="s">
        <v>763</v>
      </c>
      <c r="G91" t="s">
        <v>536</v>
      </c>
      <c r="H91" t="str">
        <f>"0193"</f>
        <v>0193</v>
      </c>
      <c r="I91" t="s">
        <v>481</v>
      </c>
      <c r="J91" t="s">
        <v>487</v>
      </c>
      <c r="K91" t="s">
        <v>488</v>
      </c>
      <c r="L91" s="1">
        <v>44946</v>
      </c>
      <c r="M91">
        <v>660</v>
      </c>
      <c r="N91" t="str">
        <f>"913.6"</f>
        <v>913.6</v>
      </c>
      <c r="P91">
        <v>35</v>
      </c>
      <c r="Q91">
        <v>25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1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1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2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1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1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1</v>
      </c>
      <c r="FK91">
        <v>0</v>
      </c>
      <c r="FL91">
        <v>0</v>
      </c>
      <c r="FM91">
        <v>0</v>
      </c>
      <c r="FN91">
        <v>0</v>
      </c>
      <c r="FO91">
        <v>1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1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1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3</v>
      </c>
      <c r="HV91">
        <v>3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1</v>
      </c>
      <c r="IM91">
        <v>0</v>
      </c>
      <c r="IN91">
        <v>2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1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1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2</v>
      </c>
      <c r="JN91">
        <v>1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1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1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2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1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</row>
    <row r="92" spans="2:467" hidden="1" x14ac:dyDescent="0.4">
      <c r="B92" t="str">
        <f>"9784121027320"</f>
        <v>9784121027320</v>
      </c>
      <c r="C92" t="s">
        <v>764</v>
      </c>
      <c r="D92" t="s">
        <v>765</v>
      </c>
      <c r="E92">
        <v>2732</v>
      </c>
      <c r="G92" t="s">
        <v>540</v>
      </c>
      <c r="H92" t="str">
        <f>"1261"</f>
        <v>1261</v>
      </c>
      <c r="I92" t="s">
        <v>541</v>
      </c>
      <c r="J92" t="s">
        <v>482</v>
      </c>
      <c r="K92" t="s">
        <v>766</v>
      </c>
      <c r="L92" s="1">
        <v>44914</v>
      </c>
      <c r="M92">
        <v>840</v>
      </c>
      <c r="N92" t="str">
        <f>"650"</f>
        <v>650</v>
      </c>
      <c r="P92">
        <v>35</v>
      </c>
      <c r="Q92">
        <v>25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2</v>
      </c>
      <c r="BC92">
        <v>0</v>
      </c>
      <c r="BD92">
        <v>1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3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1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1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1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1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2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1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2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1</v>
      </c>
      <c r="JN92">
        <v>1</v>
      </c>
      <c r="JO92">
        <v>0</v>
      </c>
      <c r="JP92">
        <v>0</v>
      </c>
      <c r="JQ92">
        <v>1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3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3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1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1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2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1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1</v>
      </c>
      <c r="PJ92">
        <v>0</v>
      </c>
      <c r="PK92">
        <v>1</v>
      </c>
      <c r="PL92">
        <v>0</v>
      </c>
      <c r="PM92">
        <v>1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0</v>
      </c>
      <c r="PT92">
        <v>1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1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</row>
    <row r="93" spans="2:467" hidden="1" x14ac:dyDescent="0.4">
      <c r="B93" t="str">
        <f>"9784334046224"</f>
        <v>9784334046224</v>
      </c>
      <c r="C93" t="s">
        <v>813</v>
      </c>
      <c r="D93" t="s">
        <v>814</v>
      </c>
      <c r="E93">
        <v>1215</v>
      </c>
      <c r="G93" t="s">
        <v>676</v>
      </c>
      <c r="H93" t="str">
        <f>"0210"</f>
        <v>0210</v>
      </c>
      <c r="I93" t="s">
        <v>481</v>
      </c>
      <c r="J93" t="s">
        <v>482</v>
      </c>
      <c r="K93" t="s">
        <v>483</v>
      </c>
      <c r="L93" s="1">
        <v>44790</v>
      </c>
      <c r="M93">
        <v>920</v>
      </c>
      <c r="N93" t="str">
        <f>"361.45"</f>
        <v>361.45</v>
      </c>
      <c r="P93">
        <v>31</v>
      </c>
      <c r="Q93">
        <v>25</v>
      </c>
      <c r="R93">
        <v>0</v>
      </c>
      <c r="S93">
        <v>0</v>
      </c>
      <c r="T93">
        <v>0</v>
      </c>
      <c r="U93">
        <v>1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2</v>
      </c>
      <c r="CI93">
        <v>2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1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1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1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2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1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1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2</v>
      </c>
      <c r="JG93">
        <v>0</v>
      </c>
      <c r="JH93">
        <v>0</v>
      </c>
      <c r="JI93">
        <v>0</v>
      </c>
      <c r="JJ93">
        <v>2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1</v>
      </c>
      <c r="JQ93">
        <v>1</v>
      </c>
      <c r="JR93">
        <v>1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1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1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2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1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1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1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1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1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1</v>
      </c>
      <c r="ON93">
        <v>0</v>
      </c>
      <c r="OO93">
        <v>0</v>
      </c>
      <c r="OP93">
        <v>0</v>
      </c>
      <c r="OQ93">
        <v>0</v>
      </c>
      <c r="OR93">
        <v>1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1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</row>
    <row r="94" spans="2:467" hidden="1" x14ac:dyDescent="0.4">
      <c r="B94" t="str">
        <f>"9784582860214"</f>
        <v>9784582860214</v>
      </c>
      <c r="C94" t="s">
        <v>840</v>
      </c>
      <c r="D94" t="s">
        <v>841</v>
      </c>
      <c r="E94">
        <v>1021</v>
      </c>
      <c r="G94" t="s">
        <v>669</v>
      </c>
      <c r="H94" t="str">
        <f>"0221"</f>
        <v>0221</v>
      </c>
      <c r="I94" t="s">
        <v>481</v>
      </c>
      <c r="J94" t="s">
        <v>482</v>
      </c>
      <c r="K94" t="s">
        <v>620</v>
      </c>
      <c r="L94" s="1">
        <v>44942</v>
      </c>
      <c r="M94">
        <v>1100</v>
      </c>
      <c r="N94" t="str">
        <f>"210.67"</f>
        <v>210.67</v>
      </c>
      <c r="P94">
        <v>29</v>
      </c>
      <c r="Q94">
        <v>25</v>
      </c>
      <c r="R94">
        <v>0</v>
      </c>
      <c r="S94">
        <v>0</v>
      </c>
      <c r="T94">
        <v>0</v>
      </c>
      <c r="U94">
        <v>1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2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1</v>
      </c>
      <c r="CR94">
        <v>0</v>
      </c>
      <c r="CS94">
        <v>1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2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1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1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1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1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2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1</v>
      </c>
      <c r="IE94">
        <v>0</v>
      </c>
      <c r="IF94">
        <v>1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1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1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2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1</v>
      </c>
      <c r="LQ94">
        <v>0</v>
      </c>
      <c r="LR94">
        <v>1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1</v>
      </c>
      <c r="OT94">
        <v>1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1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0</v>
      </c>
      <c r="QQ94">
        <v>1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</row>
    <row r="95" spans="2:467" hidden="1" x14ac:dyDescent="0.4">
      <c r="B95" t="str">
        <f>"9784004319597"</f>
        <v>9784004319597</v>
      </c>
      <c r="C95" t="s">
        <v>874</v>
      </c>
      <c r="D95" t="s">
        <v>875</v>
      </c>
      <c r="E95" t="s">
        <v>876</v>
      </c>
      <c r="G95" t="s">
        <v>521</v>
      </c>
      <c r="H95" t="str">
        <f>"0247"</f>
        <v>0247</v>
      </c>
      <c r="I95" t="s">
        <v>481</v>
      </c>
      <c r="J95" t="s">
        <v>482</v>
      </c>
      <c r="K95" t="s">
        <v>670</v>
      </c>
      <c r="L95" s="1">
        <v>44956</v>
      </c>
      <c r="M95">
        <v>860</v>
      </c>
      <c r="N95" t="str">
        <f>"490.4"</f>
        <v>490.4</v>
      </c>
      <c r="P95">
        <v>26</v>
      </c>
      <c r="Q95">
        <v>25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</v>
      </c>
      <c r="AK95">
        <v>0</v>
      </c>
      <c r="AL95">
        <v>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1</v>
      </c>
      <c r="BS95">
        <v>0</v>
      </c>
      <c r="BT95">
        <v>1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2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1</v>
      </c>
      <c r="CI95">
        <v>1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1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1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1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1</v>
      </c>
      <c r="GC95">
        <v>1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1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1</v>
      </c>
      <c r="IE95">
        <v>0</v>
      </c>
      <c r="IF95">
        <v>1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1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1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1</v>
      </c>
      <c r="JP95">
        <v>0</v>
      </c>
      <c r="JQ95">
        <v>0</v>
      </c>
      <c r="JR95">
        <v>1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1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1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1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1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1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1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</row>
    <row r="96" spans="2:467" x14ac:dyDescent="0.4">
      <c r="B96" t="str">
        <f>"9784044007270"</f>
        <v>9784044007270</v>
      </c>
      <c r="C96" t="s">
        <v>789</v>
      </c>
      <c r="D96" t="s">
        <v>790</v>
      </c>
      <c r="E96" t="s">
        <v>791</v>
      </c>
      <c r="G96" t="s">
        <v>597</v>
      </c>
      <c r="H96" t="str">
        <f>"0145"</f>
        <v>0145</v>
      </c>
      <c r="I96" t="s">
        <v>481</v>
      </c>
      <c r="J96" t="s">
        <v>487</v>
      </c>
      <c r="K96" t="s">
        <v>593</v>
      </c>
      <c r="L96" s="1">
        <v>44915</v>
      </c>
      <c r="M96">
        <v>960</v>
      </c>
      <c r="N96" t="str">
        <f>"471.1"</f>
        <v>471.1</v>
      </c>
      <c r="P96">
        <v>32</v>
      </c>
      <c r="Q96">
        <v>24</v>
      </c>
      <c r="R96">
        <v>0</v>
      </c>
      <c r="S96">
        <v>1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4</v>
      </c>
      <c r="CI96">
        <v>1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3</v>
      </c>
      <c r="CR96">
        <v>1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1</v>
      </c>
      <c r="CY96">
        <v>0</v>
      </c>
      <c r="CZ96">
        <v>0</v>
      </c>
      <c r="DA96">
        <v>0</v>
      </c>
      <c r="DB96">
        <v>0</v>
      </c>
      <c r="DC96">
        <v>1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1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1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1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1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1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1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2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1</v>
      </c>
      <c r="LX96">
        <v>0</v>
      </c>
      <c r="LY96">
        <v>0</v>
      </c>
      <c r="LZ96">
        <v>0</v>
      </c>
      <c r="MA96">
        <v>0</v>
      </c>
      <c r="MB96">
        <v>1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1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1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2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1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1</v>
      </c>
      <c r="QP96">
        <v>0</v>
      </c>
      <c r="QQ96">
        <v>2</v>
      </c>
      <c r="QR96">
        <v>0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</row>
    <row r="97" spans="2:467" x14ac:dyDescent="0.4">
      <c r="B97" t="str">
        <f>"9784575513448"</f>
        <v>9784575513448</v>
      </c>
      <c r="C97" t="s">
        <v>805</v>
      </c>
      <c r="D97" t="s">
        <v>685</v>
      </c>
      <c r="E97" t="s">
        <v>806</v>
      </c>
      <c r="G97" t="s">
        <v>807</v>
      </c>
      <c r="H97" t="str">
        <f>"0193"</f>
        <v>0193</v>
      </c>
      <c r="I97" t="s">
        <v>481</v>
      </c>
      <c r="J97" t="s">
        <v>487</v>
      </c>
      <c r="K97" t="s">
        <v>488</v>
      </c>
      <c r="L97" s="1">
        <v>40276</v>
      </c>
      <c r="M97">
        <v>619</v>
      </c>
      <c r="N97" t="str">
        <f>"913.6"</f>
        <v>913.6</v>
      </c>
      <c r="P97">
        <v>31</v>
      </c>
      <c r="Q97">
        <v>24</v>
      </c>
      <c r="R97">
        <v>0</v>
      </c>
      <c r="S97">
        <v>0</v>
      </c>
      <c r="T97">
        <v>1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1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1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1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1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2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1</v>
      </c>
      <c r="GJ97">
        <v>0</v>
      </c>
      <c r="GK97">
        <v>0</v>
      </c>
      <c r="GL97">
        <v>0</v>
      </c>
      <c r="GM97">
        <v>0</v>
      </c>
      <c r="GN97">
        <v>1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1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1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2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2</v>
      </c>
      <c r="JR97">
        <v>2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1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2</v>
      </c>
      <c r="KL97">
        <v>0</v>
      </c>
      <c r="KM97">
        <v>0</v>
      </c>
      <c r="KN97">
        <v>0</v>
      </c>
      <c r="KO97">
        <v>0</v>
      </c>
      <c r="KP97">
        <v>1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2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1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2</v>
      </c>
      <c r="OU97">
        <v>0</v>
      </c>
      <c r="OV97">
        <v>0</v>
      </c>
      <c r="OW97">
        <v>0</v>
      </c>
      <c r="OX97">
        <v>1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1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1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</row>
    <row r="98" spans="2:467" x14ac:dyDescent="0.4">
      <c r="B98" t="str">
        <f>"9784041119860"</f>
        <v>9784041119860</v>
      </c>
      <c r="C98" t="s">
        <v>821</v>
      </c>
      <c r="D98" t="s">
        <v>801</v>
      </c>
      <c r="E98" t="s">
        <v>822</v>
      </c>
      <c r="G98" t="s">
        <v>597</v>
      </c>
      <c r="H98" t="str">
        <f>"0193"</f>
        <v>0193</v>
      </c>
      <c r="I98" t="s">
        <v>481</v>
      </c>
      <c r="J98" t="s">
        <v>487</v>
      </c>
      <c r="K98" t="s">
        <v>488</v>
      </c>
      <c r="L98" s="1">
        <v>44722</v>
      </c>
      <c r="M98">
        <v>640</v>
      </c>
      <c r="N98" t="str">
        <f>"913.6"</f>
        <v>913.6</v>
      </c>
      <c r="P98">
        <v>30</v>
      </c>
      <c r="Q98">
        <v>24</v>
      </c>
      <c r="R98">
        <v>0</v>
      </c>
      <c r="S98">
        <v>0</v>
      </c>
      <c r="T98">
        <v>0</v>
      </c>
      <c r="U98">
        <v>0</v>
      </c>
      <c r="V98">
        <v>0</v>
      </c>
      <c r="W98">
        <v>1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1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1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3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1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1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0</v>
      </c>
      <c r="FR98">
        <v>0</v>
      </c>
      <c r="FS98">
        <v>0</v>
      </c>
      <c r="FT98">
        <v>1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1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1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1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1</v>
      </c>
      <c r="IE98">
        <v>0</v>
      </c>
      <c r="IF98">
        <v>1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3</v>
      </c>
      <c r="JG98">
        <v>0</v>
      </c>
      <c r="JH98">
        <v>0</v>
      </c>
      <c r="JI98">
        <v>0</v>
      </c>
      <c r="JJ98">
        <v>2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2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1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1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1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1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1</v>
      </c>
      <c r="NZ98">
        <v>0</v>
      </c>
      <c r="OA98">
        <v>0</v>
      </c>
      <c r="OB98">
        <v>0</v>
      </c>
      <c r="OC98">
        <v>0</v>
      </c>
      <c r="OD98">
        <v>1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1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1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</row>
    <row r="99" spans="2:467" x14ac:dyDescent="0.4">
      <c r="B99" t="str">
        <f>"9784344432611"</f>
        <v>9784344432611</v>
      </c>
      <c r="C99" t="s">
        <v>827</v>
      </c>
      <c r="D99" t="s">
        <v>828</v>
      </c>
      <c r="E99" t="s">
        <v>829</v>
      </c>
      <c r="G99" t="s">
        <v>714</v>
      </c>
      <c r="H99" t="str">
        <f>"0193"</f>
        <v>0193</v>
      </c>
      <c r="I99" t="s">
        <v>481</v>
      </c>
      <c r="J99" t="s">
        <v>487</v>
      </c>
      <c r="K99" t="s">
        <v>488</v>
      </c>
      <c r="L99" s="1">
        <v>44939</v>
      </c>
      <c r="M99">
        <v>710</v>
      </c>
      <c r="N99" t="str">
        <f>"913.6"</f>
        <v>913.6</v>
      </c>
      <c r="P99">
        <v>30</v>
      </c>
      <c r="Q99">
        <v>24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3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1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1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2</v>
      </c>
      <c r="CI99">
        <v>1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1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1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1</v>
      </c>
      <c r="FP99">
        <v>0</v>
      </c>
      <c r="FQ99">
        <v>0</v>
      </c>
      <c r="FR99">
        <v>0</v>
      </c>
      <c r="FS99">
        <v>0</v>
      </c>
      <c r="FT99">
        <v>1</v>
      </c>
      <c r="FU99">
        <v>0</v>
      </c>
      <c r="FV99">
        <v>0</v>
      </c>
      <c r="FW99">
        <v>0</v>
      </c>
      <c r="FX99">
        <v>1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2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1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2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1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1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1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1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1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1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1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1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2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1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</row>
    <row r="100" spans="2:467" hidden="1" x14ac:dyDescent="0.4">
      <c r="B100" t="str">
        <f>"9784121507846"</f>
        <v>9784121507846</v>
      </c>
      <c r="C100" t="s">
        <v>889</v>
      </c>
      <c r="D100" t="s">
        <v>890</v>
      </c>
      <c r="E100">
        <v>784</v>
      </c>
      <c r="G100" t="s">
        <v>540</v>
      </c>
      <c r="H100" t="str">
        <f>"1225"</f>
        <v>1225</v>
      </c>
      <c r="I100" t="s">
        <v>541</v>
      </c>
      <c r="J100" t="s">
        <v>482</v>
      </c>
      <c r="K100" t="s">
        <v>891</v>
      </c>
      <c r="L100" s="1">
        <v>44933</v>
      </c>
      <c r="M100">
        <v>880</v>
      </c>
      <c r="N100" t="str">
        <f>"448.9"</f>
        <v>448.9</v>
      </c>
      <c r="P100">
        <v>25</v>
      </c>
      <c r="Q100">
        <v>24</v>
      </c>
      <c r="R100">
        <v>0</v>
      </c>
      <c r="S100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1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1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1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1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1</v>
      </c>
      <c r="HV100">
        <v>1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1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1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1</v>
      </c>
      <c r="JM100">
        <v>1</v>
      </c>
      <c r="JN100">
        <v>0</v>
      </c>
      <c r="JO100">
        <v>1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1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1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2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1</v>
      </c>
      <c r="NZ100">
        <v>0</v>
      </c>
      <c r="OA100">
        <v>0</v>
      </c>
      <c r="OB100">
        <v>1</v>
      </c>
      <c r="OC100">
        <v>0</v>
      </c>
      <c r="OD100">
        <v>1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1</v>
      </c>
      <c r="OT100">
        <v>1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1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1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1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</row>
    <row r="101" spans="2:467" hidden="1" x14ac:dyDescent="0.4">
      <c r="B101" t="str">
        <f>"9784087211351"</f>
        <v>9784087211351</v>
      </c>
      <c r="C101" t="s">
        <v>534</v>
      </c>
      <c r="D101" t="s">
        <v>479</v>
      </c>
      <c r="E101" t="s">
        <v>535</v>
      </c>
      <c r="G101" t="s">
        <v>536</v>
      </c>
      <c r="H101" t="str">
        <f>"0233"</f>
        <v>0233</v>
      </c>
      <c r="I101" t="s">
        <v>481</v>
      </c>
      <c r="J101" t="s">
        <v>482</v>
      </c>
      <c r="K101" t="s">
        <v>537</v>
      </c>
      <c r="L101" s="1">
        <v>44091</v>
      </c>
      <c r="M101">
        <v>1020</v>
      </c>
      <c r="N101" t="str">
        <f>"331.6"</f>
        <v>331.6</v>
      </c>
      <c r="P101">
        <v>88</v>
      </c>
      <c r="Q101">
        <v>23</v>
      </c>
      <c r="R101">
        <v>0</v>
      </c>
      <c r="S101">
        <v>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1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5</v>
      </c>
      <c r="CI101">
        <v>5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3</v>
      </c>
      <c r="CR101">
        <v>0</v>
      </c>
      <c r="CS101">
        <v>1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1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1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1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1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5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52</v>
      </c>
      <c r="JN101">
        <v>0</v>
      </c>
      <c r="JO101">
        <v>0</v>
      </c>
      <c r="JP101">
        <v>0</v>
      </c>
      <c r="JQ101">
        <v>1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1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1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1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1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1</v>
      </c>
      <c r="NZ101">
        <v>0</v>
      </c>
      <c r="OA101">
        <v>0</v>
      </c>
      <c r="OB101">
        <v>1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1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1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1</v>
      </c>
      <c r="QY101">
        <v>0</v>
      </c>
    </row>
    <row r="102" spans="2:467" hidden="1" x14ac:dyDescent="0.4">
      <c r="B102" t="str">
        <f>"9784065308899"</f>
        <v>9784065308899</v>
      </c>
      <c r="C102" t="s">
        <v>737</v>
      </c>
      <c r="D102" t="s">
        <v>738</v>
      </c>
      <c r="E102">
        <v>2691</v>
      </c>
      <c r="G102" t="s">
        <v>548</v>
      </c>
      <c r="H102" t="str">
        <f>"0236"</f>
        <v>0236</v>
      </c>
      <c r="I102" t="s">
        <v>481</v>
      </c>
      <c r="J102" t="s">
        <v>482</v>
      </c>
      <c r="K102" t="s">
        <v>505</v>
      </c>
      <c r="L102" s="1">
        <v>44944</v>
      </c>
      <c r="M102">
        <v>900</v>
      </c>
      <c r="N102" t="str">
        <f>"361.65"</f>
        <v>361.65</v>
      </c>
      <c r="P102">
        <v>37</v>
      </c>
      <c r="Q102">
        <v>23</v>
      </c>
      <c r="R102">
        <v>0</v>
      </c>
      <c r="S102">
        <v>1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1</v>
      </c>
      <c r="Z102">
        <v>0</v>
      </c>
      <c r="AA102">
        <v>1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3</v>
      </c>
      <c r="CI102">
        <v>1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6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1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1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1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1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1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6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1</v>
      </c>
      <c r="JN102">
        <v>0</v>
      </c>
      <c r="JO102">
        <v>0</v>
      </c>
      <c r="JP102">
        <v>0</v>
      </c>
      <c r="JQ102">
        <v>2</v>
      </c>
      <c r="JR102">
        <v>1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1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1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1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1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1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</row>
    <row r="103" spans="2:467" hidden="1" x14ac:dyDescent="0.4">
      <c r="B103" t="str">
        <f>"9784004319122"</f>
        <v>9784004319122</v>
      </c>
      <c r="C103" t="s">
        <v>769</v>
      </c>
      <c r="D103" t="s">
        <v>770</v>
      </c>
      <c r="E103" t="s">
        <v>771</v>
      </c>
      <c r="G103" t="s">
        <v>521</v>
      </c>
      <c r="H103" t="str">
        <f>"0231"</f>
        <v>0231</v>
      </c>
      <c r="I103" t="s">
        <v>481</v>
      </c>
      <c r="J103" t="s">
        <v>482</v>
      </c>
      <c r="K103" t="s">
        <v>502</v>
      </c>
      <c r="L103" s="1">
        <v>44611</v>
      </c>
      <c r="M103">
        <v>860</v>
      </c>
      <c r="N103" t="str">
        <f>"316.1"</f>
        <v>316.1</v>
      </c>
      <c r="P103">
        <v>35</v>
      </c>
      <c r="Q103">
        <v>23</v>
      </c>
      <c r="R103">
        <v>0</v>
      </c>
      <c r="S103">
        <v>2</v>
      </c>
      <c r="T103">
        <v>0</v>
      </c>
      <c r="U103">
        <v>0</v>
      </c>
      <c r="V103">
        <v>0</v>
      </c>
      <c r="W103">
        <v>1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1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3</v>
      </c>
      <c r="CI103">
        <v>2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2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1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3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1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1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1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3</v>
      </c>
      <c r="JC103">
        <v>0</v>
      </c>
      <c r="JD103">
        <v>0</v>
      </c>
      <c r="JE103">
        <v>0</v>
      </c>
      <c r="JF103">
        <v>2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3</v>
      </c>
      <c r="JN103">
        <v>0</v>
      </c>
      <c r="JO103">
        <v>0</v>
      </c>
      <c r="JP103">
        <v>0</v>
      </c>
      <c r="JQ103">
        <v>1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1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1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1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1</v>
      </c>
      <c r="NF103">
        <v>1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1</v>
      </c>
      <c r="NQ103">
        <v>0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</row>
    <row r="104" spans="2:467" hidden="1" x14ac:dyDescent="0.4">
      <c r="B104" t="str">
        <f>"9784334046453"</f>
        <v>9784334046453</v>
      </c>
      <c r="C104" t="s">
        <v>798</v>
      </c>
      <c r="D104" t="s">
        <v>799</v>
      </c>
      <c r="E104">
        <v>1238</v>
      </c>
      <c r="G104" t="s">
        <v>676</v>
      </c>
      <c r="H104" t="str">
        <f>"0236"</f>
        <v>0236</v>
      </c>
      <c r="I104" t="s">
        <v>481</v>
      </c>
      <c r="J104" t="s">
        <v>482</v>
      </c>
      <c r="K104" t="s">
        <v>505</v>
      </c>
      <c r="L104" s="1">
        <v>44943</v>
      </c>
      <c r="M104">
        <v>840</v>
      </c>
      <c r="N104" t="str">
        <f>"372.239"</f>
        <v>372.239</v>
      </c>
      <c r="P104">
        <v>32</v>
      </c>
      <c r="Q104">
        <v>23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2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1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2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2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1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2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2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1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2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1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1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3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1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2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1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1</v>
      </c>
      <c r="OP104">
        <v>0</v>
      </c>
      <c r="OQ104">
        <v>0</v>
      </c>
      <c r="OR104">
        <v>0</v>
      </c>
      <c r="OS104">
        <v>1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1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>
        <v>0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>
        <v>0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1</v>
      </c>
      <c r="QL104">
        <v>0</v>
      </c>
      <c r="QM104">
        <v>0</v>
      </c>
      <c r="QN104">
        <v>0</v>
      </c>
      <c r="QO104">
        <v>0</v>
      </c>
      <c r="QP104">
        <v>1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</row>
    <row r="105" spans="2:467" x14ac:dyDescent="0.4">
      <c r="B105" t="str">
        <f>"9784043878017"</f>
        <v>9784043878017</v>
      </c>
      <c r="C105" t="s">
        <v>800</v>
      </c>
      <c r="D105" t="s">
        <v>801</v>
      </c>
      <c r="E105">
        <v>15069</v>
      </c>
      <c r="G105" t="s">
        <v>486</v>
      </c>
      <c r="H105" t="str">
        <f>"0193"</f>
        <v>0193</v>
      </c>
      <c r="I105" t="s">
        <v>481</v>
      </c>
      <c r="J105" t="s">
        <v>487</v>
      </c>
      <c r="K105" t="s">
        <v>488</v>
      </c>
      <c r="L105" s="1">
        <v>39508</v>
      </c>
      <c r="M105">
        <v>680</v>
      </c>
      <c r="N105" t="str">
        <f>"913.6"</f>
        <v>913.6</v>
      </c>
      <c r="P105">
        <v>32</v>
      </c>
      <c r="Q105">
        <v>23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2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1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1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3</v>
      </c>
      <c r="CI105">
        <v>2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1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1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1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1</v>
      </c>
      <c r="FP105">
        <v>0</v>
      </c>
      <c r="FQ105">
        <v>0</v>
      </c>
      <c r="FR105">
        <v>0</v>
      </c>
      <c r="FS105">
        <v>0</v>
      </c>
      <c r="FT105">
        <v>2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1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1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1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2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1</v>
      </c>
      <c r="JP105">
        <v>0</v>
      </c>
      <c r="JQ105">
        <v>3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1</v>
      </c>
      <c r="JZ105">
        <v>0</v>
      </c>
      <c r="KA105">
        <v>0</v>
      </c>
      <c r="KB105">
        <v>2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1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1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1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1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1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</row>
    <row r="106" spans="2:467" x14ac:dyDescent="0.4">
      <c r="B106" t="str">
        <f>"9784006033347"</f>
        <v>9784006033347</v>
      </c>
      <c r="C106" t="s">
        <v>815</v>
      </c>
      <c r="D106" t="s">
        <v>816</v>
      </c>
      <c r="E106" t="s">
        <v>817</v>
      </c>
      <c r="G106" t="s">
        <v>521</v>
      </c>
      <c r="H106" t="str">
        <f>"0136"</f>
        <v>0136</v>
      </c>
      <c r="I106" t="s">
        <v>481</v>
      </c>
      <c r="J106" t="s">
        <v>487</v>
      </c>
      <c r="K106" t="s">
        <v>505</v>
      </c>
      <c r="L106" s="1">
        <v>44940</v>
      </c>
      <c r="M106">
        <v>1120</v>
      </c>
      <c r="N106" t="str">
        <f>"337.3"</f>
        <v>337.3</v>
      </c>
      <c r="P106">
        <v>31</v>
      </c>
      <c r="Q106">
        <v>23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0</v>
      </c>
      <c r="Y106">
        <v>1</v>
      </c>
      <c r="Z106">
        <v>0</v>
      </c>
      <c r="AA106">
        <v>1</v>
      </c>
      <c r="AB106">
        <v>0</v>
      </c>
      <c r="AC106">
        <v>0</v>
      </c>
      <c r="AD106">
        <v>0</v>
      </c>
      <c r="AE106">
        <v>1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2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5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1</v>
      </c>
      <c r="DC106">
        <v>1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1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2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1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1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2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1</v>
      </c>
      <c r="JN106">
        <v>0</v>
      </c>
      <c r="JO106">
        <v>0</v>
      </c>
      <c r="JP106">
        <v>0</v>
      </c>
      <c r="JQ106">
        <v>1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1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1</v>
      </c>
      <c r="OT106">
        <v>1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2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1</v>
      </c>
      <c r="PX106">
        <v>0</v>
      </c>
      <c r="PY106">
        <v>0</v>
      </c>
      <c r="PZ106">
        <v>0</v>
      </c>
      <c r="QA106">
        <v>1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</row>
    <row r="107" spans="2:467" x14ac:dyDescent="0.4">
      <c r="B107" t="str">
        <f>"9784003860236"</f>
        <v>9784003860236</v>
      </c>
      <c r="C107" t="s">
        <v>834</v>
      </c>
      <c r="D107" t="s">
        <v>835</v>
      </c>
      <c r="E107" t="s">
        <v>836</v>
      </c>
      <c r="G107" t="s">
        <v>521</v>
      </c>
      <c r="H107" t="str">
        <f>"0110"</f>
        <v>0110</v>
      </c>
      <c r="I107" t="s">
        <v>481</v>
      </c>
      <c r="J107" t="s">
        <v>487</v>
      </c>
      <c r="K107" t="s">
        <v>483</v>
      </c>
      <c r="L107" s="1">
        <v>44911</v>
      </c>
      <c r="M107">
        <v>1500</v>
      </c>
      <c r="N107" t="str">
        <f>"133.3"</f>
        <v>133.3</v>
      </c>
      <c r="P107">
        <v>29</v>
      </c>
      <c r="Q107">
        <v>23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1</v>
      </c>
      <c r="AM107">
        <v>0</v>
      </c>
      <c r="AN107">
        <v>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1</v>
      </c>
      <c r="BC107">
        <v>0</v>
      </c>
      <c r="BD107">
        <v>0</v>
      </c>
      <c r="BE107">
        <v>0</v>
      </c>
      <c r="BF107">
        <v>0</v>
      </c>
      <c r="BG107">
        <v>1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1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2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1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1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1</v>
      </c>
      <c r="FU107">
        <v>0</v>
      </c>
      <c r="FV107">
        <v>2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1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1</v>
      </c>
      <c r="IU107">
        <v>0</v>
      </c>
      <c r="IV107">
        <v>0</v>
      </c>
      <c r="IW107">
        <v>0</v>
      </c>
      <c r="IX107">
        <v>0</v>
      </c>
      <c r="IY107">
        <v>2</v>
      </c>
      <c r="IZ107">
        <v>0</v>
      </c>
      <c r="JA107">
        <v>0</v>
      </c>
      <c r="JB107">
        <v>2</v>
      </c>
      <c r="JC107">
        <v>0</v>
      </c>
      <c r="JD107">
        <v>0</v>
      </c>
      <c r="JE107">
        <v>0</v>
      </c>
      <c r="JF107">
        <v>1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2</v>
      </c>
      <c r="JN107">
        <v>0</v>
      </c>
      <c r="JO107">
        <v>0</v>
      </c>
      <c r="JP107">
        <v>0</v>
      </c>
      <c r="JQ107">
        <v>1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1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1</v>
      </c>
      <c r="LX107">
        <v>1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1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2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</v>
      </c>
      <c r="PL107">
        <v>0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0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1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</row>
    <row r="108" spans="2:467" x14ac:dyDescent="0.4">
      <c r="B108" t="str">
        <f>"9784101017525"</f>
        <v>9784101017525</v>
      </c>
      <c r="C108" t="s">
        <v>842</v>
      </c>
      <c r="D108" t="s">
        <v>843</v>
      </c>
      <c r="E108" t="s">
        <v>844</v>
      </c>
      <c r="G108" t="s">
        <v>516</v>
      </c>
      <c r="H108" t="str">
        <f>"0195"</f>
        <v>0195</v>
      </c>
      <c r="I108" t="s">
        <v>481</v>
      </c>
      <c r="J108" t="s">
        <v>487</v>
      </c>
      <c r="K108" t="s">
        <v>509</v>
      </c>
      <c r="L108" s="1">
        <v>44371</v>
      </c>
      <c r="M108">
        <v>630</v>
      </c>
      <c r="N108" t="str">
        <f>"376.3"</f>
        <v>376.3</v>
      </c>
      <c r="P108">
        <v>29</v>
      </c>
      <c r="Q108">
        <v>23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1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1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4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1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2</v>
      </c>
      <c r="FP108">
        <v>0</v>
      </c>
      <c r="FQ108">
        <v>0</v>
      </c>
      <c r="FR108">
        <v>0</v>
      </c>
      <c r="FS108">
        <v>0</v>
      </c>
      <c r="FT108">
        <v>3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1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1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1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1</v>
      </c>
      <c r="JG108">
        <v>1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1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1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1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1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1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1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1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1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</row>
    <row r="109" spans="2:467" hidden="1" x14ac:dyDescent="0.4">
      <c r="B109" t="str">
        <f>"9784334046309"</f>
        <v>9784334046309</v>
      </c>
      <c r="C109" t="s">
        <v>882</v>
      </c>
      <c r="D109" t="s">
        <v>883</v>
      </c>
      <c r="E109">
        <v>1224</v>
      </c>
      <c r="G109" t="s">
        <v>676</v>
      </c>
      <c r="H109" t="str">
        <f>"0210"</f>
        <v>0210</v>
      </c>
      <c r="I109" t="s">
        <v>481</v>
      </c>
      <c r="J109" t="s">
        <v>482</v>
      </c>
      <c r="K109" t="s">
        <v>483</v>
      </c>
      <c r="L109" s="1">
        <v>44852</v>
      </c>
      <c r="M109">
        <v>920</v>
      </c>
      <c r="N109" t="str">
        <f>"114.2"</f>
        <v>114.2</v>
      </c>
      <c r="P109">
        <v>26</v>
      </c>
      <c r="Q109">
        <v>23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1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1</v>
      </c>
      <c r="CI109">
        <v>2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1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1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1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1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1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1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1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1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1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1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1</v>
      </c>
      <c r="LS109">
        <v>0</v>
      </c>
      <c r="LT109">
        <v>0</v>
      </c>
      <c r="LU109">
        <v>0</v>
      </c>
      <c r="LV109">
        <v>0</v>
      </c>
      <c r="LW109">
        <v>1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1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1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2</v>
      </c>
      <c r="NZ109">
        <v>0</v>
      </c>
      <c r="OA109">
        <v>0</v>
      </c>
      <c r="OB109">
        <v>1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1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2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1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0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</v>
      </c>
      <c r="QC109">
        <v>1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</row>
    <row r="110" spans="2:467" hidden="1" x14ac:dyDescent="0.4">
      <c r="B110" t="str">
        <f>"9784480684417"</f>
        <v>9784480684417</v>
      </c>
      <c r="C110" t="s">
        <v>853</v>
      </c>
      <c r="D110" t="s">
        <v>854</v>
      </c>
      <c r="E110">
        <v>417</v>
      </c>
      <c r="G110" t="s">
        <v>501</v>
      </c>
      <c r="H110" t="str">
        <f>"0295"</f>
        <v>0295</v>
      </c>
      <c r="I110" t="s">
        <v>481</v>
      </c>
      <c r="J110" t="s">
        <v>482</v>
      </c>
      <c r="K110" t="s">
        <v>509</v>
      </c>
      <c r="L110" s="1">
        <v>44903</v>
      </c>
      <c r="M110">
        <v>800</v>
      </c>
      <c r="N110" t="str">
        <f>"141.1"</f>
        <v>141.1</v>
      </c>
      <c r="P110">
        <v>28</v>
      </c>
      <c r="Q110">
        <v>22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1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1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2</v>
      </c>
      <c r="CI110">
        <v>1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1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1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1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1</v>
      </c>
      <c r="EU110">
        <v>0</v>
      </c>
      <c r="EV110">
        <v>2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3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1</v>
      </c>
      <c r="GJ110">
        <v>0</v>
      </c>
      <c r="GK110">
        <v>0</v>
      </c>
      <c r="GL110">
        <v>0</v>
      </c>
      <c r="GM110">
        <v>0</v>
      </c>
      <c r="GN110">
        <v>1</v>
      </c>
      <c r="GO110">
        <v>0</v>
      </c>
      <c r="GP110">
        <v>0</v>
      </c>
      <c r="GQ110">
        <v>0</v>
      </c>
      <c r="GR110">
        <v>1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1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2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1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1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1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2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1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</v>
      </c>
      <c r="PE110">
        <v>0</v>
      </c>
      <c r="PF110">
        <v>0</v>
      </c>
      <c r="PG110">
        <v>0</v>
      </c>
      <c r="PH110">
        <v>0</v>
      </c>
      <c r="PI110">
        <v>0</v>
      </c>
      <c r="PJ110">
        <v>0</v>
      </c>
      <c r="PK110">
        <v>0</v>
      </c>
      <c r="PL110">
        <v>0</v>
      </c>
      <c r="PM110">
        <v>0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0</v>
      </c>
      <c r="PT110">
        <v>0</v>
      </c>
      <c r="PU110">
        <v>0</v>
      </c>
      <c r="PV110">
        <v>1</v>
      </c>
      <c r="PW110">
        <v>0</v>
      </c>
      <c r="PX110">
        <v>0</v>
      </c>
      <c r="PY110">
        <v>0</v>
      </c>
      <c r="PZ110">
        <v>0</v>
      </c>
      <c r="QA110">
        <v>0</v>
      </c>
      <c r="QB110">
        <v>0</v>
      </c>
      <c r="QC110">
        <v>0</v>
      </c>
      <c r="QD110">
        <v>0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1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</row>
    <row r="111" spans="2:467" x14ac:dyDescent="0.4">
      <c r="B111" t="str">
        <f>"9784334754747"</f>
        <v>9784334754747</v>
      </c>
      <c r="C111" t="s">
        <v>859</v>
      </c>
      <c r="D111" t="s">
        <v>860</v>
      </c>
      <c r="E111" t="s">
        <v>861</v>
      </c>
      <c r="G111" t="s">
        <v>676</v>
      </c>
      <c r="H111" t="str">
        <f>"0197"</f>
        <v>0197</v>
      </c>
      <c r="I111" t="s">
        <v>481</v>
      </c>
      <c r="J111" t="s">
        <v>487</v>
      </c>
      <c r="K111" t="s">
        <v>564</v>
      </c>
      <c r="L111" s="1">
        <v>44937</v>
      </c>
      <c r="M111">
        <v>1400</v>
      </c>
      <c r="N111" t="str">
        <f>"983"</f>
        <v>983</v>
      </c>
      <c r="P111">
        <v>27</v>
      </c>
      <c r="Q111">
        <v>22</v>
      </c>
      <c r="R111">
        <v>0</v>
      </c>
      <c r="S111">
        <v>0</v>
      </c>
      <c r="T111">
        <v>1</v>
      </c>
      <c r="U111">
        <v>1</v>
      </c>
      <c r="V111">
        <v>0</v>
      </c>
      <c r="W111">
        <v>0</v>
      </c>
      <c r="X111">
        <v>0</v>
      </c>
      <c r="Y111">
        <v>1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1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2</v>
      </c>
      <c r="CR111">
        <v>0</v>
      </c>
      <c r="CS111">
        <v>1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1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1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1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1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2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2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2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1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1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1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1</v>
      </c>
      <c r="OT111">
        <v>1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1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1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</row>
    <row r="112" spans="2:467" hidden="1" x14ac:dyDescent="0.4">
      <c r="B112" t="str">
        <f>"9784040824307"</f>
        <v>9784040824307</v>
      </c>
      <c r="C112" t="s">
        <v>862</v>
      </c>
      <c r="D112" t="s">
        <v>863</v>
      </c>
      <c r="E112" t="s">
        <v>864</v>
      </c>
      <c r="G112" t="s">
        <v>597</v>
      </c>
      <c r="H112" t="str">
        <f>"0236"</f>
        <v>0236</v>
      </c>
      <c r="I112" t="s">
        <v>481</v>
      </c>
      <c r="J112" t="s">
        <v>482</v>
      </c>
      <c r="K112" t="s">
        <v>505</v>
      </c>
      <c r="L112" s="1">
        <v>44904</v>
      </c>
      <c r="M112">
        <v>920</v>
      </c>
      <c r="N112" t="str">
        <f>"146.1"</f>
        <v>146.1</v>
      </c>
      <c r="P112">
        <v>27</v>
      </c>
      <c r="Q112">
        <v>22</v>
      </c>
      <c r="R112">
        <v>0</v>
      </c>
      <c r="S112">
        <v>0</v>
      </c>
      <c r="T112">
        <v>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1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1</v>
      </c>
      <c r="CI112">
        <v>1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3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1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2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1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1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1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1</v>
      </c>
      <c r="JO112">
        <v>0</v>
      </c>
      <c r="JP112">
        <v>0</v>
      </c>
      <c r="JQ112">
        <v>2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1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1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1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1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2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1</v>
      </c>
      <c r="OL112">
        <v>0</v>
      </c>
      <c r="OM112">
        <v>1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1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1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</row>
    <row r="113" spans="2:467" hidden="1" x14ac:dyDescent="0.4">
      <c r="B113" t="str">
        <f>"9784334046392"</f>
        <v>9784334046392</v>
      </c>
      <c r="C113" t="s">
        <v>920</v>
      </c>
      <c r="D113" t="s">
        <v>921</v>
      </c>
      <c r="E113">
        <v>1232</v>
      </c>
      <c r="G113" t="s">
        <v>676</v>
      </c>
      <c r="H113" t="str">
        <f>"0255"</f>
        <v>0255</v>
      </c>
      <c r="I113" t="s">
        <v>481</v>
      </c>
      <c r="J113" t="s">
        <v>482</v>
      </c>
      <c r="K113" t="s">
        <v>922</v>
      </c>
      <c r="L113" s="1">
        <v>44908</v>
      </c>
      <c r="M113">
        <v>960</v>
      </c>
      <c r="N113" t="str">
        <f>"547.48"</f>
        <v>547.48</v>
      </c>
      <c r="P113">
        <v>24</v>
      </c>
      <c r="Q113">
        <v>22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1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1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1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1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1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1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2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1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0</v>
      </c>
      <c r="JR113">
        <v>1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1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1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1</v>
      </c>
      <c r="MM113">
        <v>0</v>
      </c>
      <c r="MN113">
        <v>1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1</v>
      </c>
      <c r="ND113">
        <v>0</v>
      </c>
      <c r="NE113">
        <v>0</v>
      </c>
      <c r="NF113">
        <v>1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1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1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2</v>
      </c>
      <c r="PL113">
        <v>0</v>
      </c>
      <c r="PM113">
        <v>0</v>
      </c>
      <c r="PN113">
        <v>0</v>
      </c>
      <c r="PO113">
        <v>0</v>
      </c>
      <c r="PP113">
        <v>1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</row>
    <row r="114" spans="2:467" x14ac:dyDescent="0.4">
      <c r="B114" t="str">
        <f>"9784151200113"</f>
        <v>9784151200113</v>
      </c>
      <c r="C114" t="s">
        <v>960</v>
      </c>
      <c r="D114" t="s">
        <v>961</v>
      </c>
      <c r="E114" t="s">
        <v>962</v>
      </c>
      <c r="G114" t="s">
        <v>963</v>
      </c>
      <c r="H114" t="str">
        <f>"0197"</f>
        <v>0197</v>
      </c>
      <c r="I114" t="s">
        <v>481</v>
      </c>
      <c r="J114" t="s">
        <v>487</v>
      </c>
      <c r="K114" t="s">
        <v>564</v>
      </c>
      <c r="L114" s="1">
        <v>37165</v>
      </c>
      <c r="M114">
        <v>1200</v>
      </c>
      <c r="N114" t="str">
        <f>"933"</f>
        <v>933</v>
      </c>
      <c r="P114">
        <v>22</v>
      </c>
      <c r="Q114">
        <v>22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1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1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1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1</v>
      </c>
      <c r="FW114">
        <v>0</v>
      </c>
      <c r="FX114">
        <v>1</v>
      </c>
      <c r="FY114">
        <v>1</v>
      </c>
      <c r="FZ114">
        <v>0</v>
      </c>
      <c r="GA114">
        <v>0</v>
      </c>
      <c r="GB114">
        <v>0</v>
      </c>
      <c r="GC114">
        <v>0</v>
      </c>
      <c r="GD114">
        <v>1</v>
      </c>
      <c r="GE114">
        <v>0</v>
      </c>
      <c r="GF114">
        <v>0</v>
      </c>
      <c r="GG114">
        <v>0</v>
      </c>
      <c r="GH114">
        <v>0</v>
      </c>
      <c r="GI114">
        <v>1</v>
      </c>
      <c r="GJ114">
        <v>1</v>
      </c>
      <c r="GK114">
        <v>0</v>
      </c>
      <c r="GL114">
        <v>1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1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1</v>
      </c>
      <c r="LT114">
        <v>0</v>
      </c>
      <c r="LU114">
        <v>0</v>
      </c>
      <c r="LV114">
        <v>0</v>
      </c>
      <c r="LW114">
        <v>1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1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1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1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1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1</v>
      </c>
      <c r="OT114">
        <v>0</v>
      </c>
      <c r="OU114">
        <v>0</v>
      </c>
      <c r="OV114">
        <v>0</v>
      </c>
      <c r="OW114">
        <v>0</v>
      </c>
      <c r="OX114">
        <v>1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</row>
    <row r="115" spans="2:467" hidden="1" x14ac:dyDescent="0.4">
      <c r="B115" t="str">
        <f>"9784065302491"</f>
        <v>9784065302491</v>
      </c>
      <c r="C115" t="s">
        <v>858</v>
      </c>
      <c r="D115" t="s">
        <v>757</v>
      </c>
      <c r="E115">
        <v>2689</v>
      </c>
      <c r="G115" t="s">
        <v>548</v>
      </c>
      <c r="H115" t="str">
        <f>"0210"</f>
        <v>0210</v>
      </c>
      <c r="I115" t="s">
        <v>481</v>
      </c>
      <c r="J115" t="s">
        <v>482</v>
      </c>
      <c r="K115" t="s">
        <v>483</v>
      </c>
      <c r="L115" s="1">
        <v>44909</v>
      </c>
      <c r="M115">
        <v>860</v>
      </c>
      <c r="N115" t="str">
        <f>"134.9"</f>
        <v>134.9</v>
      </c>
      <c r="P115">
        <v>27</v>
      </c>
      <c r="Q115">
        <v>21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1</v>
      </c>
      <c r="BE115">
        <v>0</v>
      </c>
      <c r="BF115">
        <v>0</v>
      </c>
      <c r="BG115">
        <v>1</v>
      </c>
      <c r="BH115">
        <v>0</v>
      </c>
      <c r="BI115">
        <v>0</v>
      </c>
      <c r="BJ115">
        <v>0</v>
      </c>
      <c r="BK115">
        <v>0</v>
      </c>
      <c r="BL115">
        <v>1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2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1</v>
      </c>
      <c r="CR115">
        <v>2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1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1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1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1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2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1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4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1</v>
      </c>
      <c r="LS115">
        <v>0</v>
      </c>
      <c r="LT115">
        <v>0</v>
      </c>
      <c r="LU115">
        <v>0</v>
      </c>
      <c r="LV115">
        <v>0</v>
      </c>
      <c r="LW115">
        <v>1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1</v>
      </c>
      <c r="NF115">
        <v>1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1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1</v>
      </c>
      <c r="OT115">
        <v>1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</row>
    <row r="116" spans="2:467" hidden="1" x14ac:dyDescent="0.4">
      <c r="B116" t="str">
        <f>"9784005009619"</f>
        <v>9784005009619</v>
      </c>
      <c r="C116" t="s">
        <v>877</v>
      </c>
      <c r="D116" t="s">
        <v>878</v>
      </c>
      <c r="E116">
        <v>961</v>
      </c>
      <c r="G116" t="s">
        <v>521</v>
      </c>
      <c r="H116" t="str">
        <f>"0291"</f>
        <v>0291</v>
      </c>
      <c r="I116" t="s">
        <v>481</v>
      </c>
      <c r="J116" t="s">
        <v>482</v>
      </c>
      <c r="K116" t="s">
        <v>558</v>
      </c>
      <c r="L116" s="1">
        <v>44916</v>
      </c>
      <c r="M116">
        <v>880</v>
      </c>
      <c r="N116" t="str">
        <f>"K910"</f>
        <v>K910</v>
      </c>
      <c r="P116">
        <v>26</v>
      </c>
      <c r="Q116">
        <v>21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1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1</v>
      </c>
      <c r="CI116">
        <v>6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1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1</v>
      </c>
      <c r="CZ116">
        <v>0</v>
      </c>
      <c r="DA116">
        <v>0</v>
      </c>
      <c r="DB116">
        <v>0</v>
      </c>
      <c r="DC116">
        <v>1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1</v>
      </c>
      <c r="EE116">
        <v>0</v>
      </c>
      <c r="EF116">
        <v>1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1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1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1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1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1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1</v>
      </c>
      <c r="JN116">
        <v>0</v>
      </c>
      <c r="JO116">
        <v>1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1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1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1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1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1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</row>
    <row r="117" spans="2:467" x14ac:dyDescent="0.4">
      <c r="B117" t="str">
        <f>"9784101259642"</f>
        <v>9784101259642</v>
      </c>
      <c r="C117" t="s">
        <v>879</v>
      </c>
      <c r="D117" t="s">
        <v>880</v>
      </c>
      <c r="E117" t="s">
        <v>881</v>
      </c>
      <c r="G117" t="s">
        <v>516</v>
      </c>
      <c r="H117" t="str">
        <f>"0193"</f>
        <v>0193</v>
      </c>
      <c r="I117" t="s">
        <v>481</v>
      </c>
      <c r="J117" t="s">
        <v>487</v>
      </c>
      <c r="K117" t="s">
        <v>488</v>
      </c>
      <c r="L117" s="1">
        <v>44497</v>
      </c>
      <c r="M117">
        <v>550</v>
      </c>
      <c r="N117" t="str">
        <f>"913.6"</f>
        <v>913.6</v>
      </c>
      <c r="P117">
        <v>26</v>
      </c>
      <c r="Q117">
        <v>21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1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1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1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1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1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1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1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1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1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1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1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5</v>
      </c>
      <c r="NZ117">
        <v>0</v>
      </c>
      <c r="OA117">
        <v>0</v>
      </c>
      <c r="OB117">
        <v>0</v>
      </c>
      <c r="OC117">
        <v>0</v>
      </c>
      <c r="OD117">
        <v>1</v>
      </c>
      <c r="OE117">
        <v>0</v>
      </c>
      <c r="OF117">
        <v>0</v>
      </c>
      <c r="OG117">
        <v>0</v>
      </c>
      <c r="OH117">
        <v>0</v>
      </c>
      <c r="OI117">
        <v>1</v>
      </c>
      <c r="OJ117">
        <v>1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1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</v>
      </c>
      <c r="PL117">
        <v>0</v>
      </c>
      <c r="PM117">
        <v>1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2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1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</row>
    <row r="118" spans="2:467" x14ac:dyDescent="0.4">
      <c r="B118" t="str">
        <f>"9784334754730"</f>
        <v>9784334754730</v>
      </c>
      <c r="C118" t="s">
        <v>884</v>
      </c>
      <c r="D118" t="s">
        <v>885</v>
      </c>
      <c r="E118" t="s">
        <v>886</v>
      </c>
      <c r="G118" t="s">
        <v>676</v>
      </c>
      <c r="H118" t="str">
        <f>"0197"</f>
        <v>0197</v>
      </c>
      <c r="I118" t="s">
        <v>481</v>
      </c>
      <c r="J118" t="s">
        <v>487</v>
      </c>
      <c r="K118" t="s">
        <v>564</v>
      </c>
      <c r="L118" s="1">
        <v>44937</v>
      </c>
      <c r="M118">
        <v>1460</v>
      </c>
      <c r="N118" t="str">
        <f>"973"</f>
        <v>973</v>
      </c>
      <c r="P118">
        <v>25</v>
      </c>
      <c r="Q118">
        <v>21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0</v>
      </c>
      <c r="Y118">
        <v>1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1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1</v>
      </c>
      <c r="CI118">
        <v>1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2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2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1</v>
      </c>
      <c r="FB118">
        <v>0</v>
      </c>
      <c r="FC118">
        <v>0</v>
      </c>
      <c r="FD118">
        <v>1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1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1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1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2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1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2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1</v>
      </c>
      <c r="LQ118">
        <v>0</v>
      </c>
      <c r="LR118">
        <v>1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1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1</v>
      </c>
      <c r="OT118">
        <v>1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0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1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</row>
    <row r="119" spans="2:467" x14ac:dyDescent="0.4">
      <c r="B119" t="str">
        <f>"9784065302286"</f>
        <v>9784065302286</v>
      </c>
      <c r="C119" t="s">
        <v>887</v>
      </c>
      <c r="D119" t="s">
        <v>888</v>
      </c>
      <c r="E119">
        <v>2744</v>
      </c>
      <c r="G119" t="s">
        <v>548</v>
      </c>
      <c r="H119" t="str">
        <f>"0110"</f>
        <v>0110</v>
      </c>
      <c r="I119" t="s">
        <v>481</v>
      </c>
      <c r="J119" t="s">
        <v>487</v>
      </c>
      <c r="K119" t="s">
        <v>483</v>
      </c>
      <c r="L119" s="1">
        <v>44910</v>
      </c>
      <c r="M119">
        <v>1360</v>
      </c>
      <c r="N119" t="str">
        <f>"104"</f>
        <v>104</v>
      </c>
      <c r="P119">
        <v>25</v>
      </c>
      <c r="Q119">
        <v>21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3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1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1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1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1</v>
      </c>
      <c r="FB119">
        <v>0</v>
      </c>
      <c r="FC119">
        <v>0</v>
      </c>
      <c r="FD119">
        <v>0</v>
      </c>
      <c r="FE119">
        <v>1</v>
      </c>
      <c r="FF119">
        <v>1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1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1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1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1</v>
      </c>
      <c r="JD119">
        <v>0</v>
      </c>
      <c r="JE119">
        <v>0</v>
      </c>
      <c r="JF119">
        <v>1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2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1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1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1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1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1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1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2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0</v>
      </c>
      <c r="QS119">
        <v>0</v>
      </c>
      <c r="QT119">
        <v>1</v>
      </c>
      <c r="QU119">
        <v>0</v>
      </c>
      <c r="QV119">
        <v>0</v>
      </c>
      <c r="QW119">
        <v>0</v>
      </c>
      <c r="QX119">
        <v>0</v>
      </c>
      <c r="QY119">
        <v>0</v>
      </c>
    </row>
    <row r="120" spans="2:467" x14ac:dyDescent="0.4">
      <c r="B120" t="str">
        <f>"9784003510254"</f>
        <v>9784003510254</v>
      </c>
      <c r="C120" t="s">
        <v>895</v>
      </c>
      <c r="D120" t="s">
        <v>896</v>
      </c>
      <c r="E120" t="s">
        <v>897</v>
      </c>
      <c r="G120" t="s">
        <v>521</v>
      </c>
      <c r="H120" t="str">
        <f>"0193"</f>
        <v>0193</v>
      </c>
      <c r="I120" t="s">
        <v>481</v>
      </c>
      <c r="J120" t="s">
        <v>487</v>
      </c>
      <c r="K120" t="s">
        <v>488</v>
      </c>
      <c r="L120" s="1">
        <v>44911</v>
      </c>
      <c r="M120">
        <v>970</v>
      </c>
      <c r="N120" t="str">
        <f>"913.41"</f>
        <v>913.41</v>
      </c>
      <c r="P120">
        <v>25</v>
      </c>
      <c r="Q120">
        <v>21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1</v>
      </c>
      <c r="BN120">
        <v>0</v>
      </c>
      <c r="BO120">
        <v>0</v>
      </c>
      <c r="BP120">
        <v>0</v>
      </c>
      <c r="BQ120">
        <v>1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2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2</v>
      </c>
      <c r="CR120">
        <v>0</v>
      </c>
      <c r="CS120">
        <v>1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1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1</v>
      </c>
      <c r="FF120">
        <v>0</v>
      </c>
      <c r="FG120">
        <v>0</v>
      </c>
      <c r="FH120">
        <v>1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1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1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2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1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1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1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1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1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2</v>
      </c>
      <c r="NZ120">
        <v>0</v>
      </c>
      <c r="OA120">
        <v>0</v>
      </c>
      <c r="OB120">
        <v>1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1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1</v>
      </c>
      <c r="QI120">
        <v>0</v>
      </c>
      <c r="QJ120">
        <v>0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</row>
    <row r="121" spans="2:467" hidden="1" x14ac:dyDescent="0.4">
      <c r="B121" t="str">
        <f>"9784166613618"</f>
        <v>9784166613618</v>
      </c>
      <c r="C121" t="s">
        <v>830</v>
      </c>
      <c r="D121" t="s">
        <v>831</v>
      </c>
      <c r="E121">
        <v>1361</v>
      </c>
      <c r="G121" t="s">
        <v>639</v>
      </c>
      <c r="H121" t="str">
        <f>"0295"</f>
        <v>0295</v>
      </c>
      <c r="I121" t="s">
        <v>481</v>
      </c>
      <c r="J121" t="s">
        <v>482</v>
      </c>
      <c r="K121" t="s">
        <v>509</v>
      </c>
      <c r="L121" s="1">
        <v>44700</v>
      </c>
      <c r="M121">
        <v>980</v>
      </c>
      <c r="N121" t="str">
        <f>"367.2"</f>
        <v>367.2</v>
      </c>
      <c r="P121">
        <v>30</v>
      </c>
      <c r="Q121">
        <v>20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1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5</v>
      </c>
      <c r="CI121">
        <v>3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1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1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1</v>
      </c>
      <c r="FE121">
        <v>1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1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1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1</v>
      </c>
      <c r="IO121">
        <v>1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5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1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1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1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1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1</v>
      </c>
      <c r="QU121">
        <v>0</v>
      </c>
      <c r="QV121">
        <v>0</v>
      </c>
      <c r="QW121">
        <v>0</v>
      </c>
      <c r="QX121">
        <v>0</v>
      </c>
      <c r="QY121">
        <v>0</v>
      </c>
    </row>
    <row r="122" spans="2:467" x14ac:dyDescent="0.4">
      <c r="B122" t="str">
        <f>"9784794218780"</f>
        <v>9784794218780</v>
      </c>
      <c r="C122" t="s">
        <v>845</v>
      </c>
      <c r="D122" t="s">
        <v>846</v>
      </c>
      <c r="E122" t="s">
        <v>847</v>
      </c>
      <c r="G122" t="s">
        <v>848</v>
      </c>
      <c r="H122" t="str">
        <f>"0122"</f>
        <v>0122</v>
      </c>
      <c r="I122" t="s">
        <v>481</v>
      </c>
      <c r="J122" t="s">
        <v>487</v>
      </c>
      <c r="K122" t="s">
        <v>579</v>
      </c>
      <c r="L122" s="1">
        <v>40942</v>
      </c>
      <c r="M122">
        <v>900</v>
      </c>
      <c r="N122" t="str">
        <f>"209"</f>
        <v>209</v>
      </c>
      <c r="P122">
        <v>29</v>
      </c>
      <c r="Q122">
        <v>20</v>
      </c>
      <c r="R122">
        <v>0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7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1</v>
      </c>
      <c r="CR122">
        <v>1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1</v>
      </c>
      <c r="EA122">
        <v>0</v>
      </c>
      <c r="EB122">
        <v>0</v>
      </c>
      <c r="EC122">
        <v>0</v>
      </c>
      <c r="ED122">
        <v>2</v>
      </c>
      <c r="EE122">
        <v>0</v>
      </c>
      <c r="EF122">
        <v>0</v>
      </c>
      <c r="EG122">
        <v>0</v>
      </c>
      <c r="EH122">
        <v>1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1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1</v>
      </c>
      <c r="HV122">
        <v>1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1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1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3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1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1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1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1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1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1</v>
      </c>
    </row>
    <row r="123" spans="2:467" hidden="1" x14ac:dyDescent="0.4">
      <c r="B123" t="str">
        <f>"9784004319436"</f>
        <v>9784004319436</v>
      </c>
      <c r="C123" t="s">
        <v>869</v>
      </c>
      <c r="D123" t="s">
        <v>870</v>
      </c>
      <c r="E123" t="s">
        <v>871</v>
      </c>
      <c r="G123" t="s">
        <v>521</v>
      </c>
      <c r="H123" t="str">
        <f>"0222"</f>
        <v>0222</v>
      </c>
      <c r="I123" t="s">
        <v>481</v>
      </c>
      <c r="J123" t="s">
        <v>482</v>
      </c>
      <c r="K123" t="s">
        <v>579</v>
      </c>
      <c r="L123" s="1">
        <v>44826</v>
      </c>
      <c r="M123">
        <v>900</v>
      </c>
      <c r="N123" t="str">
        <f>"312.3"</f>
        <v>312.3</v>
      </c>
      <c r="P123">
        <v>26</v>
      </c>
      <c r="Q123">
        <v>20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1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1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1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2</v>
      </c>
      <c r="CI123">
        <v>2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1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1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1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1</v>
      </c>
      <c r="FB123">
        <v>0</v>
      </c>
      <c r="FC123">
        <v>0</v>
      </c>
      <c r="FD123">
        <v>1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5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1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1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1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1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</v>
      </c>
      <c r="NN123">
        <v>0</v>
      </c>
      <c r="NO123">
        <v>0</v>
      </c>
      <c r="NP123">
        <v>0</v>
      </c>
      <c r="NQ123">
        <v>0</v>
      </c>
      <c r="NR123">
        <v>1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1</v>
      </c>
      <c r="OT123">
        <v>0</v>
      </c>
      <c r="OU123">
        <v>0</v>
      </c>
      <c r="OV123">
        <v>0</v>
      </c>
      <c r="OW123">
        <v>0</v>
      </c>
      <c r="OX123">
        <v>1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1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1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</row>
    <row r="124" spans="2:467" hidden="1" x14ac:dyDescent="0.4">
      <c r="B124" t="str">
        <f>"9784065303870"</f>
        <v>9784065303870</v>
      </c>
      <c r="C124" t="s">
        <v>892</v>
      </c>
      <c r="D124" t="s">
        <v>893</v>
      </c>
      <c r="E124" t="s">
        <v>894</v>
      </c>
      <c r="G124" t="s">
        <v>548</v>
      </c>
      <c r="H124" t="str">
        <f>"0247"</f>
        <v>0247</v>
      </c>
      <c r="I124" t="s">
        <v>481</v>
      </c>
      <c r="J124" t="s">
        <v>482</v>
      </c>
      <c r="K124" t="s">
        <v>670</v>
      </c>
      <c r="L124" s="1">
        <v>44909</v>
      </c>
      <c r="M124">
        <v>1200</v>
      </c>
      <c r="N124" t="str">
        <f>"491.369"</f>
        <v>491.369</v>
      </c>
      <c r="P124">
        <v>25</v>
      </c>
      <c r="Q124">
        <v>20</v>
      </c>
      <c r="R124">
        <v>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1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1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3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1</v>
      </c>
      <c r="DM124">
        <v>0</v>
      </c>
      <c r="DN124">
        <v>0</v>
      </c>
      <c r="DO124">
        <v>1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2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1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1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1</v>
      </c>
      <c r="HW124">
        <v>3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1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1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1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1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1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1</v>
      </c>
      <c r="PM124">
        <v>1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1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1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</row>
    <row r="125" spans="2:467" hidden="1" x14ac:dyDescent="0.4">
      <c r="B125" t="str">
        <f>"9784121027245"</f>
        <v>9784121027245</v>
      </c>
      <c r="C125" t="s">
        <v>935</v>
      </c>
      <c r="D125" t="s">
        <v>902</v>
      </c>
      <c r="E125">
        <v>2724</v>
      </c>
      <c r="G125" t="s">
        <v>540</v>
      </c>
      <c r="H125" t="str">
        <f>"1233"</f>
        <v>1233</v>
      </c>
      <c r="I125" t="s">
        <v>541</v>
      </c>
      <c r="J125" t="s">
        <v>482</v>
      </c>
      <c r="K125" t="s">
        <v>537</v>
      </c>
      <c r="L125" s="1">
        <v>44883</v>
      </c>
      <c r="M125">
        <v>840</v>
      </c>
      <c r="N125" t="str">
        <f>"331"</f>
        <v>331</v>
      </c>
      <c r="P125">
        <v>23</v>
      </c>
      <c r="Q125">
        <v>20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1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1</v>
      </c>
      <c r="FL125">
        <v>0</v>
      </c>
      <c r="FM125">
        <v>0</v>
      </c>
      <c r="FN125">
        <v>0</v>
      </c>
      <c r="FO125">
        <v>1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1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1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1</v>
      </c>
      <c r="JG125">
        <v>0</v>
      </c>
      <c r="JH125">
        <v>0</v>
      </c>
      <c r="JI125">
        <v>0</v>
      </c>
      <c r="JJ125">
        <v>2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2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2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1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0</v>
      </c>
      <c r="NL125">
        <v>1</v>
      </c>
      <c r="NM125">
        <v>0</v>
      </c>
      <c r="NN125">
        <v>0</v>
      </c>
      <c r="NO125">
        <v>0</v>
      </c>
      <c r="NP125">
        <v>0</v>
      </c>
      <c r="NQ125">
        <v>0</v>
      </c>
      <c r="NR125">
        <v>1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1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1</v>
      </c>
      <c r="OT125">
        <v>1</v>
      </c>
      <c r="OU125">
        <v>0</v>
      </c>
      <c r="OV125">
        <v>0</v>
      </c>
      <c r="OW125">
        <v>0</v>
      </c>
      <c r="OX125">
        <v>1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1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</row>
    <row r="126" spans="2:467" x14ac:dyDescent="0.4">
      <c r="B126" t="str">
        <f>"9784101098012"</f>
        <v>9784101098012</v>
      </c>
      <c r="C126" t="s">
        <v>936</v>
      </c>
      <c r="D126" t="s">
        <v>937</v>
      </c>
      <c r="E126" t="s">
        <v>938</v>
      </c>
      <c r="G126" t="s">
        <v>516</v>
      </c>
      <c r="H126" t="str">
        <f>"0193"</f>
        <v>0193</v>
      </c>
      <c r="I126" t="s">
        <v>481</v>
      </c>
      <c r="J126" t="s">
        <v>487</v>
      </c>
      <c r="K126" t="s">
        <v>488</v>
      </c>
      <c r="L126" s="1">
        <v>40940</v>
      </c>
      <c r="M126">
        <v>630</v>
      </c>
      <c r="N126" t="str">
        <f>"913.6"</f>
        <v>913.6</v>
      </c>
      <c r="P126">
        <v>23</v>
      </c>
      <c r="Q126">
        <v>20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1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1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2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1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2</v>
      </c>
      <c r="CR126">
        <v>1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1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1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2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1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1</v>
      </c>
      <c r="JN126">
        <v>0</v>
      </c>
      <c r="JO126">
        <v>0</v>
      </c>
      <c r="JP126">
        <v>0</v>
      </c>
      <c r="JQ126">
        <v>0</v>
      </c>
      <c r="JR126">
        <v>1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1</v>
      </c>
      <c r="LQ126">
        <v>0</v>
      </c>
      <c r="LR126">
        <v>1</v>
      </c>
      <c r="LS126">
        <v>0</v>
      </c>
      <c r="LT126">
        <v>0</v>
      </c>
      <c r="LU126">
        <v>0</v>
      </c>
      <c r="LV126">
        <v>0</v>
      </c>
      <c r="LW126">
        <v>1</v>
      </c>
      <c r="LX126">
        <v>0</v>
      </c>
      <c r="LY126">
        <v>0</v>
      </c>
      <c r="LZ126">
        <v>0</v>
      </c>
      <c r="MA126">
        <v>0</v>
      </c>
      <c r="MB126">
        <v>1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1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1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1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1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</row>
    <row r="127" spans="2:467" x14ac:dyDescent="0.4">
      <c r="B127" t="str">
        <f>"9784043878024"</f>
        <v>9784043878024</v>
      </c>
      <c r="C127" t="s">
        <v>939</v>
      </c>
      <c r="D127" t="s">
        <v>801</v>
      </c>
      <c r="E127">
        <v>15481</v>
      </c>
      <c r="G127" t="s">
        <v>486</v>
      </c>
      <c r="H127" t="str">
        <f>"0193"</f>
        <v>0193</v>
      </c>
      <c r="I127" t="s">
        <v>481</v>
      </c>
      <c r="J127" t="s">
        <v>487</v>
      </c>
      <c r="K127" t="s">
        <v>488</v>
      </c>
      <c r="L127" s="1">
        <v>39807</v>
      </c>
      <c r="M127">
        <v>560</v>
      </c>
      <c r="N127" t="str">
        <f>"913.6"</f>
        <v>913.6</v>
      </c>
      <c r="P127">
        <v>23</v>
      </c>
      <c r="Q127">
        <v>20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1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1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1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1</v>
      </c>
      <c r="FY127">
        <v>1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1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1</v>
      </c>
      <c r="JG127">
        <v>1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1</v>
      </c>
      <c r="JN127">
        <v>0</v>
      </c>
      <c r="JO127">
        <v>0</v>
      </c>
      <c r="JP127">
        <v>0</v>
      </c>
      <c r="JQ127">
        <v>3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1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1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1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2</v>
      </c>
      <c r="NZ127">
        <v>0</v>
      </c>
      <c r="OA127">
        <v>0</v>
      </c>
      <c r="OB127">
        <v>0</v>
      </c>
      <c r="OC127">
        <v>0</v>
      </c>
      <c r="OD127">
        <v>1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1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1</v>
      </c>
      <c r="OU127">
        <v>0</v>
      </c>
      <c r="OV127">
        <v>0</v>
      </c>
      <c r="OW127">
        <v>0</v>
      </c>
      <c r="OX127">
        <v>0</v>
      </c>
      <c r="OY127">
        <v>0</v>
      </c>
      <c r="OZ127">
        <v>0</v>
      </c>
      <c r="PA127">
        <v>0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1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</row>
    <row r="128" spans="2:467" x14ac:dyDescent="0.4">
      <c r="B128" t="str">
        <f>"9784480511386"</f>
        <v>9784480511386</v>
      </c>
      <c r="C128" t="s">
        <v>943</v>
      </c>
      <c r="D128" t="s">
        <v>944</v>
      </c>
      <c r="E128" t="s">
        <v>945</v>
      </c>
      <c r="G128" t="s">
        <v>501</v>
      </c>
      <c r="H128" t="str">
        <f>"0141"</f>
        <v>0141</v>
      </c>
      <c r="I128" t="s">
        <v>481</v>
      </c>
      <c r="J128" t="s">
        <v>487</v>
      </c>
      <c r="K128" t="s">
        <v>604</v>
      </c>
      <c r="L128" s="1">
        <v>44904</v>
      </c>
      <c r="M128">
        <v>1100</v>
      </c>
      <c r="N128" t="str">
        <f>"404"</f>
        <v>404</v>
      </c>
      <c r="P128">
        <v>22</v>
      </c>
      <c r="Q128">
        <v>20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1</v>
      </c>
      <c r="BN128">
        <v>1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1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1</v>
      </c>
      <c r="DK128">
        <v>0</v>
      </c>
      <c r="DL128">
        <v>1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1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1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1</v>
      </c>
      <c r="GZ128">
        <v>0</v>
      </c>
      <c r="HA128">
        <v>0</v>
      </c>
      <c r="HB128">
        <v>0</v>
      </c>
      <c r="HC128">
        <v>0</v>
      </c>
      <c r="HD128">
        <v>1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1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1</v>
      </c>
      <c r="JG128">
        <v>0</v>
      </c>
      <c r="JH128">
        <v>0</v>
      </c>
      <c r="JI128">
        <v>0</v>
      </c>
      <c r="JJ128">
        <v>1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1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1</v>
      </c>
      <c r="LX128">
        <v>1</v>
      </c>
      <c r="LY128">
        <v>0</v>
      </c>
      <c r="LZ128">
        <v>1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0</v>
      </c>
      <c r="PB128">
        <v>0</v>
      </c>
      <c r="PC128">
        <v>0</v>
      </c>
      <c r="PD128">
        <v>0</v>
      </c>
      <c r="PE128">
        <v>0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3</v>
      </c>
      <c r="PN128">
        <v>0</v>
      </c>
      <c r="PO128">
        <v>0</v>
      </c>
      <c r="PP128">
        <v>0</v>
      </c>
      <c r="PQ128">
        <v>0</v>
      </c>
      <c r="PR128">
        <v>0</v>
      </c>
      <c r="PS128">
        <v>0</v>
      </c>
      <c r="PT128">
        <v>0</v>
      </c>
      <c r="PU128">
        <v>0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1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</row>
    <row r="129" spans="2:467" hidden="1" x14ac:dyDescent="0.4">
      <c r="B129" t="str">
        <f>"9784296114948"</f>
        <v>9784296114948</v>
      </c>
      <c r="C129" t="s">
        <v>954</v>
      </c>
      <c r="D129" t="s">
        <v>955</v>
      </c>
      <c r="G129" t="s">
        <v>956</v>
      </c>
      <c r="H129" t="str">
        <f>"1234"</f>
        <v>1234</v>
      </c>
      <c r="I129" t="s">
        <v>541</v>
      </c>
      <c r="J129" t="s">
        <v>482</v>
      </c>
      <c r="K129" t="s">
        <v>957</v>
      </c>
      <c r="L129" s="1">
        <v>44911</v>
      </c>
      <c r="M129">
        <v>1000</v>
      </c>
      <c r="N129" t="str">
        <f>"336.17"</f>
        <v>336.17</v>
      </c>
      <c r="P129">
        <v>22</v>
      </c>
      <c r="Q129">
        <v>20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1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1</v>
      </c>
      <c r="CI129">
        <v>1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1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1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1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1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1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1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2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1</v>
      </c>
      <c r="KS129">
        <v>0</v>
      </c>
      <c r="KT129">
        <v>0</v>
      </c>
      <c r="KU129">
        <v>0</v>
      </c>
      <c r="KV129">
        <v>1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1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2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1</v>
      </c>
      <c r="NF129">
        <v>0</v>
      </c>
      <c r="NG129">
        <v>0</v>
      </c>
      <c r="NH129">
        <v>0</v>
      </c>
      <c r="NI129">
        <v>0</v>
      </c>
      <c r="NJ129">
        <v>0</v>
      </c>
      <c r="NK129">
        <v>0</v>
      </c>
      <c r="NL129">
        <v>0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0</v>
      </c>
      <c r="NX129">
        <v>0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1</v>
      </c>
      <c r="OL129">
        <v>0</v>
      </c>
      <c r="OM129">
        <v>1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1</v>
      </c>
      <c r="OU129">
        <v>0</v>
      </c>
      <c r="OV129">
        <v>0</v>
      </c>
      <c r="OW129">
        <v>0</v>
      </c>
      <c r="OX129">
        <v>0</v>
      </c>
      <c r="OY129">
        <v>0</v>
      </c>
      <c r="OZ129">
        <v>0</v>
      </c>
      <c r="PA129">
        <v>0</v>
      </c>
      <c r="PB129">
        <v>0</v>
      </c>
      <c r="PC129">
        <v>0</v>
      </c>
      <c r="PD129">
        <v>0</v>
      </c>
      <c r="PE129">
        <v>0</v>
      </c>
      <c r="PF129">
        <v>0</v>
      </c>
      <c r="PG129">
        <v>0</v>
      </c>
      <c r="PH129">
        <v>0</v>
      </c>
      <c r="PI129">
        <v>0</v>
      </c>
      <c r="PJ129">
        <v>1</v>
      </c>
      <c r="PK129">
        <v>0</v>
      </c>
      <c r="PL129">
        <v>0</v>
      </c>
      <c r="PM129">
        <v>0</v>
      </c>
      <c r="PN129">
        <v>0</v>
      </c>
      <c r="PO129">
        <v>0</v>
      </c>
      <c r="PP129">
        <v>0</v>
      </c>
      <c r="PQ129">
        <v>0</v>
      </c>
      <c r="PR129">
        <v>0</v>
      </c>
      <c r="PS129">
        <v>0</v>
      </c>
      <c r="PT129">
        <v>0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1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</row>
    <row r="130" spans="2:467" x14ac:dyDescent="0.4">
      <c r="B130" t="str">
        <f>"9784591175064"</f>
        <v>9784591175064</v>
      </c>
      <c r="C130" t="s">
        <v>969</v>
      </c>
      <c r="D130" t="s">
        <v>970</v>
      </c>
      <c r="E130" t="s">
        <v>971</v>
      </c>
      <c r="G130" t="s">
        <v>572</v>
      </c>
      <c r="H130" t="str">
        <f>"0193"</f>
        <v>0193</v>
      </c>
      <c r="I130" t="s">
        <v>481</v>
      </c>
      <c r="J130" t="s">
        <v>487</v>
      </c>
      <c r="K130" t="s">
        <v>488</v>
      </c>
      <c r="L130" s="1">
        <v>44840</v>
      </c>
      <c r="M130">
        <v>720</v>
      </c>
      <c r="N130" t="str">
        <f>"913.6"</f>
        <v>913.6</v>
      </c>
      <c r="P130">
        <v>21</v>
      </c>
      <c r="Q130">
        <v>20</v>
      </c>
      <c r="R130">
        <v>0</v>
      </c>
      <c r="S130">
        <v>0</v>
      </c>
      <c r="T130">
        <v>1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1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1</v>
      </c>
      <c r="FP130">
        <v>0</v>
      </c>
      <c r="FQ130">
        <v>0</v>
      </c>
      <c r="FR130">
        <v>0</v>
      </c>
      <c r="FS130">
        <v>0</v>
      </c>
      <c r="FT130">
        <v>1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1</v>
      </c>
      <c r="IL130">
        <v>0</v>
      </c>
      <c r="IM130">
        <v>0</v>
      </c>
      <c r="IN130">
        <v>1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1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1</v>
      </c>
      <c r="JN130">
        <v>0</v>
      </c>
      <c r="JO130">
        <v>0</v>
      </c>
      <c r="JP130">
        <v>0</v>
      </c>
      <c r="JQ130">
        <v>1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1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1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1</v>
      </c>
      <c r="ND130">
        <v>0</v>
      </c>
      <c r="NE130">
        <v>1</v>
      </c>
      <c r="NF130">
        <v>1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1</v>
      </c>
      <c r="OC130">
        <v>0</v>
      </c>
      <c r="OD130">
        <v>1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1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1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0</v>
      </c>
      <c r="PF130">
        <v>0</v>
      </c>
      <c r="PG130">
        <v>0</v>
      </c>
      <c r="PH130">
        <v>0</v>
      </c>
      <c r="PI130">
        <v>0</v>
      </c>
      <c r="PJ130">
        <v>0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1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2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</row>
    <row r="131" spans="2:467" x14ac:dyDescent="0.4">
      <c r="B131" t="str">
        <f>"9784101207629"</f>
        <v>9784101207629</v>
      </c>
      <c r="C131" t="s">
        <v>991</v>
      </c>
      <c r="D131" t="s">
        <v>992</v>
      </c>
      <c r="E131" t="s">
        <v>993</v>
      </c>
      <c r="G131" t="s">
        <v>516</v>
      </c>
      <c r="H131" t="str">
        <f>"0193"</f>
        <v>0193</v>
      </c>
      <c r="I131" t="s">
        <v>481</v>
      </c>
      <c r="J131" t="s">
        <v>487</v>
      </c>
      <c r="K131" t="s">
        <v>488</v>
      </c>
      <c r="L131" s="1">
        <v>44371</v>
      </c>
      <c r="M131">
        <v>670</v>
      </c>
      <c r="N131" t="str">
        <f>"913.6"</f>
        <v>913.6</v>
      </c>
      <c r="P131">
        <v>20</v>
      </c>
      <c r="Q131">
        <v>20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1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1</v>
      </c>
      <c r="CI131">
        <v>1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1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1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1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1</v>
      </c>
      <c r="IU131">
        <v>1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1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1</v>
      </c>
      <c r="JN131">
        <v>0</v>
      </c>
      <c r="JO131">
        <v>0</v>
      </c>
      <c r="JP131">
        <v>0</v>
      </c>
      <c r="JQ131">
        <v>0</v>
      </c>
      <c r="JR131">
        <v>1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1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1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1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1</v>
      </c>
      <c r="NZ131">
        <v>0</v>
      </c>
      <c r="OA131">
        <v>0</v>
      </c>
      <c r="OB131">
        <v>1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1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0</v>
      </c>
      <c r="PQ131">
        <v>0</v>
      </c>
      <c r="PR131">
        <v>0</v>
      </c>
      <c r="PS131">
        <v>0</v>
      </c>
      <c r="PT131">
        <v>0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0</v>
      </c>
      <c r="QC131">
        <v>0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0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0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</row>
    <row r="132" spans="2:467" x14ac:dyDescent="0.4">
      <c r="B132" t="str">
        <f>"9784065306802"</f>
        <v>9784065306802</v>
      </c>
      <c r="C132" t="s">
        <v>825</v>
      </c>
      <c r="D132" t="s">
        <v>826</v>
      </c>
      <c r="E132">
        <v>2747</v>
      </c>
      <c r="G132" t="s">
        <v>548</v>
      </c>
      <c r="H132" t="str">
        <f>"0131"</f>
        <v>0131</v>
      </c>
      <c r="I132" t="s">
        <v>481</v>
      </c>
      <c r="J132" t="s">
        <v>487</v>
      </c>
      <c r="K132" t="s">
        <v>502</v>
      </c>
      <c r="L132" s="1">
        <v>44938</v>
      </c>
      <c r="M132">
        <v>1360</v>
      </c>
      <c r="N132" t="str">
        <f>"041"</f>
        <v>041</v>
      </c>
      <c r="P132">
        <v>30</v>
      </c>
      <c r="Q132">
        <v>19</v>
      </c>
      <c r="R132">
        <v>0</v>
      </c>
      <c r="S132">
        <v>0</v>
      </c>
      <c r="T132">
        <v>0</v>
      </c>
      <c r="U132">
        <v>2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1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4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5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1</v>
      </c>
      <c r="DC132">
        <v>1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2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1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1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1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2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1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1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1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1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2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0</v>
      </c>
      <c r="NL132">
        <v>0</v>
      </c>
      <c r="NM132">
        <v>0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1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0</v>
      </c>
      <c r="OI132">
        <v>0</v>
      </c>
      <c r="OJ132">
        <v>0</v>
      </c>
      <c r="OK132">
        <v>0</v>
      </c>
      <c r="OL132">
        <v>0</v>
      </c>
      <c r="OM132">
        <v>0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0</v>
      </c>
      <c r="OY132">
        <v>0</v>
      </c>
      <c r="OZ132">
        <v>0</v>
      </c>
      <c r="PA132">
        <v>0</v>
      </c>
      <c r="PB132">
        <v>0</v>
      </c>
      <c r="PC132">
        <v>0</v>
      </c>
      <c r="PD132">
        <v>0</v>
      </c>
      <c r="PE132">
        <v>0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1</v>
      </c>
      <c r="PL132">
        <v>0</v>
      </c>
      <c r="PM132">
        <v>0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0</v>
      </c>
      <c r="PT132">
        <v>1</v>
      </c>
      <c r="PU132">
        <v>0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</v>
      </c>
      <c r="QC132">
        <v>0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</row>
    <row r="133" spans="2:467" x14ac:dyDescent="0.4">
      <c r="B133" t="str">
        <f>"9784006033330"</f>
        <v>9784006033330</v>
      </c>
      <c r="C133" t="s">
        <v>898</v>
      </c>
      <c r="D133" t="s">
        <v>899</v>
      </c>
      <c r="E133" t="s">
        <v>900</v>
      </c>
      <c r="G133" t="s">
        <v>521</v>
      </c>
      <c r="H133" t="str">
        <f>"0136"</f>
        <v>0136</v>
      </c>
      <c r="I133" t="s">
        <v>481</v>
      </c>
      <c r="J133" t="s">
        <v>487</v>
      </c>
      <c r="K133" t="s">
        <v>505</v>
      </c>
      <c r="L133" s="1">
        <v>44940</v>
      </c>
      <c r="M133">
        <v>1000</v>
      </c>
      <c r="N133" t="str">
        <f>"369.31"</f>
        <v>369.31</v>
      </c>
      <c r="P133">
        <v>25</v>
      </c>
      <c r="Q133">
        <v>19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0</v>
      </c>
      <c r="Y133">
        <v>1</v>
      </c>
      <c r="Z133">
        <v>0</v>
      </c>
      <c r="AA133">
        <v>1</v>
      </c>
      <c r="AB133">
        <v>0</v>
      </c>
      <c r="AC133">
        <v>0</v>
      </c>
      <c r="AD133">
        <v>0</v>
      </c>
      <c r="AE133">
        <v>1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1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6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1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1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1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1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1</v>
      </c>
      <c r="LX133">
        <v>1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1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0</v>
      </c>
      <c r="NL133">
        <v>0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1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1</v>
      </c>
      <c r="OT133">
        <v>2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1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1</v>
      </c>
      <c r="PX133">
        <v>0</v>
      </c>
      <c r="PY133">
        <v>0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</row>
    <row r="134" spans="2:467" hidden="1" x14ac:dyDescent="0.4">
      <c r="B134" t="str">
        <f>"9784087212334"</f>
        <v>9784087212334</v>
      </c>
      <c r="C134" t="s">
        <v>907</v>
      </c>
      <c r="D134" t="s">
        <v>908</v>
      </c>
      <c r="E134" t="s">
        <v>909</v>
      </c>
      <c r="G134" t="s">
        <v>536</v>
      </c>
      <c r="H134" t="str">
        <f>"0236"</f>
        <v>0236</v>
      </c>
      <c r="I134" t="s">
        <v>481</v>
      </c>
      <c r="J134" t="s">
        <v>482</v>
      </c>
      <c r="K134" t="s">
        <v>505</v>
      </c>
      <c r="L134" s="1">
        <v>44819</v>
      </c>
      <c r="M134">
        <v>960</v>
      </c>
      <c r="N134" t="str">
        <f>"002"</f>
        <v>002</v>
      </c>
      <c r="P134">
        <v>24</v>
      </c>
      <c r="Q134">
        <v>19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1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4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1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1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2</v>
      </c>
      <c r="ES134">
        <v>0</v>
      </c>
      <c r="ET134">
        <v>1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1</v>
      </c>
      <c r="FF134">
        <v>0</v>
      </c>
      <c r="FG134">
        <v>0</v>
      </c>
      <c r="FH134">
        <v>0</v>
      </c>
      <c r="FI134">
        <v>0</v>
      </c>
      <c r="FJ134">
        <v>1</v>
      </c>
      <c r="FK134">
        <v>0</v>
      </c>
      <c r="FL134">
        <v>0</v>
      </c>
      <c r="FM134">
        <v>0</v>
      </c>
      <c r="FN134">
        <v>0</v>
      </c>
      <c r="FO134">
        <v>1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1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1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1</v>
      </c>
      <c r="IV134">
        <v>1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2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1</v>
      </c>
      <c r="JN134">
        <v>0</v>
      </c>
      <c r="JO134">
        <v>0</v>
      </c>
      <c r="JP134">
        <v>0</v>
      </c>
      <c r="JQ134">
        <v>1</v>
      </c>
      <c r="JR134">
        <v>0</v>
      </c>
      <c r="JS134">
        <v>0</v>
      </c>
      <c r="JT134">
        <v>0</v>
      </c>
      <c r="JU134">
        <v>1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1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0</v>
      </c>
      <c r="OZ134">
        <v>0</v>
      </c>
      <c r="PA134">
        <v>0</v>
      </c>
      <c r="PB134">
        <v>0</v>
      </c>
      <c r="PC134">
        <v>0</v>
      </c>
      <c r="PD134">
        <v>0</v>
      </c>
      <c r="PE134">
        <v>0</v>
      </c>
      <c r="PF134">
        <v>0</v>
      </c>
      <c r="PG134">
        <v>0</v>
      </c>
      <c r="PH134">
        <v>0</v>
      </c>
      <c r="PI134">
        <v>0</v>
      </c>
      <c r="PJ134">
        <v>0</v>
      </c>
      <c r="PK134">
        <v>1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0</v>
      </c>
      <c r="QJ134">
        <v>0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0</v>
      </c>
      <c r="QS134">
        <v>0</v>
      </c>
      <c r="QT134">
        <v>0</v>
      </c>
      <c r="QU134">
        <v>0</v>
      </c>
      <c r="QV134">
        <v>0</v>
      </c>
      <c r="QW134">
        <v>0</v>
      </c>
      <c r="QX134">
        <v>0</v>
      </c>
      <c r="QY134">
        <v>0</v>
      </c>
    </row>
    <row r="135" spans="2:467" x14ac:dyDescent="0.4">
      <c r="B135" t="str">
        <f>"9784122071001"</f>
        <v>9784122071001</v>
      </c>
      <c r="C135" t="s">
        <v>910</v>
      </c>
      <c r="D135" t="s">
        <v>911</v>
      </c>
      <c r="E135" t="s">
        <v>912</v>
      </c>
      <c r="G135" t="s">
        <v>540</v>
      </c>
      <c r="H135" t="str">
        <f>"1193"</f>
        <v>1193</v>
      </c>
      <c r="I135" t="s">
        <v>541</v>
      </c>
      <c r="J135" t="s">
        <v>487</v>
      </c>
      <c r="K135" t="s">
        <v>488</v>
      </c>
      <c r="L135" s="1">
        <v>44428</v>
      </c>
      <c r="M135">
        <v>700</v>
      </c>
      <c r="N135" t="str">
        <f>"913.6"</f>
        <v>913.6</v>
      </c>
      <c r="P135">
        <v>24</v>
      </c>
      <c r="Q135">
        <v>19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1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2</v>
      </c>
      <c r="CJ135">
        <v>2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1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1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1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1</v>
      </c>
      <c r="GJ135">
        <v>0</v>
      </c>
      <c r="GK135">
        <v>0</v>
      </c>
      <c r="GL135">
        <v>0</v>
      </c>
      <c r="GM135">
        <v>0</v>
      </c>
      <c r="GN135">
        <v>1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1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2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1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1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3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1</v>
      </c>
      <c r="LX135">
        <v>0</v>
      </c>
      <c r="LY135">
        <v>0</v>
      </c>
      <c r="LZ135">
        <v>0</v>
      </c>
      <c r="MA135">
        <v>0</v>
      </c>
      <c r="MB135">
        <v>1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1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0</v>
      </c>
      <c r="NL135">
        <v>0</v>
      </c>
      <c r="NM135">
        <v>0</v>
      </c>
      <c r="NN135">
        <v>0</v>
      </c>
      <c r="NO135">
        <v>0</v>
      </c>
      <c r="NP135">
        <v>1</v>
      </c>
      <c r="NQ135">
        <v>0</v>
      </c>
      <c r="NR135">
        <v>0</v>
      </c>
      <c r="NS135">
        <v>0</v>
      </c>
      <c r="NT135">
        <v>0</v>
      </c>
      <c r="NU135">
        <v>0</v>
      </c>
      <c r="NV135">
        <v>0</v>
      </c>
      <c r="NW135">
        <v>0</v>
      </c>
      <c r="NX135">
        <v>0</v>
      </c>
      <c r="NY135">
        <v>0</v>
      </c>
      <c r="NZ135">
        <v>0</v>
      </c>
      <c r="OA135">
        <v>0</v>
      </c>
      <c r="OB135">
        <v>0</v>
      </c>
      <c r="OC135">
        <v>0</v>
      </c>
      <c r="OD135">
        <v>1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0</v>
      </c>
      <c r="OL135">
        <v>0</v>
      </c>
      <c r="OM135">
        <v>0</v>
      </c>
      <c r="ON135">
        <v>0</v>
      </c>
      <c r="OO135">
        <v>0</v>
      </c>
      <c r="OP135">
        <v>0</v>
      </c>
      <c r="OQ135">
        <v>0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0</v>
      </c>
      <c r="OY135">
        <v>0</v>
      </c>
      <c r="OZ135">
        <v>0</v>
      </c>
      <c r="PA135">
        <v>0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</row>
    <row r="136" spans="2:467" hidden="1" x14ac:dyDescent="0.4">
      <c r="B136" t="str">
        <f>"9784480071675"</f>
        <v>9784480071675</v>
      </c>
      <c r="C136" t="s">
        <v>915</v>
      </c>
      <c r="D136" t="s">
        <v>916</v>
      </c>
      <c r="E136">
        <v>1352</v>
      </c>
      <c r="G136" t="s">
        <v>501</v>
      </c>
      <c r="H136" t="str">
        <f>"0295"</f>
        <v>0295</v>
      </c>
      <c r="I136" t="s">
        <v>481</v>
      </c>
      <c r="J136" t="s">
        <v>482</v>
      </c>
      <c r="K136" t="s">
        <v>509</v>
      </c>
      <c r="L136" s="1">
        <v>43350</v>
      </c>
      <c r="M136">
        <v>920</v>
      </c>
      <c r="N136" t="str">
        <f>"002.7"</f>
        <v>002.7</v>
      </c>
      <c r="P136">
        <v>24</v>
      </c>
      <c r="Q136">
        <v>19</v>
      </c>
      <c r="R136">
        <v>0</v>
      </c>
      <c r="S136">
        <v>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1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1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3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1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1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1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2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1</v>
      </c>
      <c r="FB136">
        <v>0</v>
      </c>
      <c r="FC136">
        <v>0</v>
      </c>
      <c r="FD136">
        <v>1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1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1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2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2</v>
      </c>
      <c r="JN136">
        <v>0</v>
      </c>
      <c r="JO136">
        <v>0</v>
      </c>
      <c r="JP136">
        <v>0</v>
      </c>
      <c r="JQ136">
        <v>1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1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0</v>
      </c>
      <c r="OM136">
        <v>0</v>
      </c>
      <c r="ON136">
        <v>0</v>
      </c>
      <c r="OO136">
        <v>0</v>
      </c>
      <c r="OP136">
        <v>0</v>
      </c>
      <c r="OQ136">
        <v>0</v>
      </c>
      <c r="OR136">
        <v>0</v>
      </c>
      <c r="OS136">
        <v>1</v>
      </c>
      <c r="OT136">
        <v>0</v>
      </c>
      <c r="OU136">
        <v>0</v>
      </c>
      <c r="OV136">
        <v>0</v>
      </c>
      <c r="OW136">
        <v>0</v>
      </c>
      <c r="OX136">
        <v>0</v>
      </c>
      <c r="OY136">
        <v>0</v>
      </c>
      <c r="OZ136">
        <v>0</v>
      </c>
      <c r="PA136">
        <v>0</v>
      </c>
      <c r="PB136">
        <v>0</v>
      </c>
      <c r="PC136">
        <v>0</v>
      </c>
      <c r="PD136">
        <v>0</v>
      </c>
      <c r="PE136">
        <v>0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1</v>
      </c>
      <c r="PL136">
        <v>0</v>
      </c>
      <c r="PM136">
        <v>0</v>
      </c>
      <c r="PN136">
        <v>0</v>
      </c>
      <c r="PO136">
        <v>0</v>
      </c>
      <c r="PP136">
        <v>0</v>
      </c>
      <c r="PQ136">
        <v>0</v>
      </c>
      <c r="PR136">
        <v>0</v>
      </c>
      <c r="PS136">
        <v>0</v>
      </c>
      <c r="PT136">
        <v>0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</v>
      </c>
      <c r="QK136">
        <v>1</v>
      </c>
      <c r="QL136">
        <v>0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</row>
    <row r="137" spans="2:467" x14ac:dyDescent="0.4">
      <c r="B137" t="str">
        <f>"9784101044514"</f>
        <v>9784101044514</v>
      </c>
      <c r="C137" t="s">
        <v>917</v>
      </c>
      <c r="D137" t="s">
        <v>918</v>
      </c>
      <c r="E137" t="s">
        <v>919</v>
      </c>
      <c r="G137" t="s">
        <v>516</v>
      </c>
      <c r="H137" t="str">
        <f>"0193"</f>
        <v>0193</v>
      </c>
      <c r="I137" t="s">
        <v>481</v>
      </c>
      <c r="J137" t="s">
        <v>487</v>
      </c>
      <c r="K137" t="s">
        <v>488</v>
      </c>
      <c r="L137" s="1">
        <v>44918</v>
      </c>
      <c r="M137">
        <v>630</v>
      </c>
      <c r="N137" t="str">
        <f>"913.6"</f>
        <v>913.6</v>
      </c>
      <c r="P137">
        <v>24</v>
      </c>
      <c r="Q137">
        <v>19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2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1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2</v>
      </c>
      <c r="BF137">
        <v>0</v>
      </c>
      <c r="BG137">
        <v>1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1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2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1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1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1</v>
      </c>
      <c r="JR137">
        <v>1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1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2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D137">
        <v>0</v>
      </c>
      <c r="NE137">
        <v>2</v>
      </c>
      <c r="NF137">
        <v>0</v>
      </c>
      <c r="NG137">
        <v>0</v>
      </c>
      <c r="NH137">
        <v>0</v>
      </c>
      <c r="NI137">
        <v>0</v>
      </c>
      <c r="NJ137">
        <v>0</v>
      </c>
      <c r="NK137">
        <v>0</v>
      </c>
      <c r="NL137">
        <v>0</v>
      </c>
      <c r="NM137">
        <v>0</v>
      </c>
      <c r="NN137">
        <v>0</v>
      </c>
      <c r="NO137">
        <v>0</v>
      </c>
      <c r="NP137">
        <v>0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0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1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0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</v>
      </c>
      <c r="OZ137">
        <v>0</v>
      </c>
      <c r="PA137">
        <v>0</v>
      </c>
      <c r="PB137">
        <v>0</v>
      </c>
      <c r="PC137">
        <v>0</v>
      </c>
      <c r="PD137">
        <v>0</v>
      </c>
      <c r="PE137">
        <v>0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0</v>
      </c>
      <c r="PL137">
        <v>0</v>
      </c>
      <c r="PM137">
        <v>0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0</v>
      </c>
      <c r="PT137">
        <v>0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</v>
      </c>
      <c r="QC137">
        <v>0</v>
      </c>
      <c r="QD137">
        <v>0</v>
      </c>
      <c r="QE137">
        <v>0</v>
      </c>
      <c r="QF137">
        <v>0</v>
      </c>
      <c r="QG137">
        <v>1</v>
      </c>
      <c r="QH137">
        <v>1</v>
      </c>
      <c r="QI137">
        <v>0</v>
      </c>
      <c r="QJ137">
        <v>0</v>
      </c>
      <c r="QK137">
        <v>1</v>
      </c>
      <c r="QL137">
        <v>0</v>
      </c>
      <c r="QM137">
        <v>0</v>
      </c>
      <c r="QN137">
        <v>0</v>
      </c>
      <c r="QO137">
        <v>0</v>
      </c>
      <c r="QP137">
        <v>1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</row>
    <row r="138" spans="2:467" x14ac:dyDescent="0.4">
      <c r="B138" t="str">
        <f>"9784101027418"</f>
        <v>9784101027418</v>
      </c>
      <c r="C138" t="s">
        <v>923</v>
      </c>
      <c r="D138" t="s">
        <v>924</v>
      </c>
      <c r="E138" t="s">
        <v>925</v>
      </c>
      <c r="G138" t="s">
        <v>516</v>
      </c>
      <c r="H138" t="str">
        <f>"0193"</f>
        <v>0193</v>
      </c>
      <c r="I138" t="s">
        <v>481</v>
      </c>
      <c r="J138" t="s">
        <v>487</v>
      </c>
      <c r="K138" t="s">
        <v>488</v>
      </c>
      <c r="L138" s="1">
        <v>44282</v>
      </c>
      <c r="M138">
        <v>630</v>
      </c>
      <c r="N138" t="str">
        <f>"913.6"</f>
        <v>913.6</v>
      </c>
      <c r="P138">
        <v>24</v>
      </c>
      <c r="Q138">
        <v>19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1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1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1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1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1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3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2</v>
      </c>
      <c r="IV138">
        <v>0</v>
      </c>
      <c r="IW138">
        <v>0</v>
      </c>
      <c r="IX138">
        <v>0</v>
      </c>
      <c r="IY138">
        <v>1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2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1</v>
      </c>
      <c r="LQ138">
        <v>0</v>
      </c>
      <c r="LR138">
        <v>1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1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0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1</v>
      </c>
      <c r="OE138">
        <v>0</v>
      </c>
      <c r="OF138">
        <v>0</v>
      </c>
      <c r="OG138">
        <v>2</v>
      </c>
      <c r="OH138">
        <v>0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>
        <v>0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1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0</v>
      </c>
      <c r="PI138">
        <v>0</v>
      </c>
      <c r="PJ138">
        <v>0</v>
      </c>
      <c r="PK138">
        <v>1</v>
      </c>
      <c r="PL138">
        <v>0</v>
      </c>
      <c r="PM138">
        <v>0</v>
      </c>
      <c r="PN138">
        <v>0</v>
      </c>
      <c r="PO138">
        <v>0</v>
      </c>
      <c r="PP138">
        <v>0</v>
      </c>
      <c r="PQ138">
        <v>0</v>
      </c>
      <c r="PR138">
        <v>0</v>
      </c>
      <c r="PS138">
        <v>0</v>
      </c>
      <c r="PT138">
        <v>0</v>
      </c>
      <c r="PU138">
        <v>0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</v>
      </c>
      <c r="QQ138">
        <v>1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</row>
    <row r="139" spans="2:467" x14ac:dyDescent="0.4">
      <c r="B139" t="str">
        <f>"9784569902555"</f>
        <v>9784569902555</v>
      </c>
      <c r="C139" t="s">
        <v>933</v>
      </c>
      <c r="D139" t="s">
        <v>880</v>
      </c>
      <c r="E139" t="s">
        <v>934</v>
      </c>
      <c r="G139" t="s">
        <v>717</v>
      </c>
      <c r="H139" t="str">
        <f>"0193"</f>
        <v>0193</v>
      </c>
      <c r="I139" t="s">
        <v>481</v>
      </c>
      <c r="J139" t="s">
        <v>487</v>
      </c>
      <c r="K139" t="s">
        <v>488</v>
      </c>
      <c r="L139" s="1">
        <v>44890</v>
      </c>
      <c r="M139">
        <v>900</v>
      </c>
      <c r="N139" t="str">
        <f>"913.6"</f>
        <v>913.6</v>
      </c>
      <c r="P139">
        <v>23</v>
      </c>
      <c r="Q139">
        <v>19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3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1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2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1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1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1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1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1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1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1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1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1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1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1</v>
      </c>
      <c r="ON139">
        <v>0</v>
      </c>
      <c r="OO139">
        <v>0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0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</v>
      </c>
      <c r="PL139">
        <v>2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</v>
      </c>
      <c r="PU139">
        <v>0</v>
      </c>
      <c r="PV139">
        <v>0</v>
      </c>
      <c r="PW139">
        <v>0</v>
      </c>
      <c r="PX139">
        <v>0</v>
      </c>
      <c r="PY139">
        <v>0</v>
      </c>
      <c r="PZ139">
        <v>0</v>
      </c>
      <c r="QA139">
        <v>0</v>
      </c>
      <c r="QB139">
        <v>0</v>
      </c>
      <c r="QC139">
        <v>1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</row>
    <row r="140" spans="2:467" hidden="1" x14ac:dyDescent="0.4">
      <c r="B140" t="str">
        <f>"9784296116348"</f>
        <v>9784296116348</v>
      </c>
      <c r="C140" t="s">
        <v>966</v>
      </c>
      <c r="D140" t="s">
        <v>967</v>
      </c>
      <c r="E140" t="s">
        <v>968</v>
      </c>
      <c r="G140" t="s">
        <v>956</v>
      </c>
      <c r="H140" t="str">
        <f>"1234"</f>
        <v>1234</v>
      </c>
      <c r="I140" t="s">
        <v>541</v>
      </c>
      <c r="J140" t="s">
        <v>482</v>
      </c>
      <c r="K140" t="s">
        <v>957</v>
      </c>
      <c r="L140" s="1">
        <v>44942</v>
      </c>
      <c r="M140">
        <v>900</v>
      </c>
      <c r="N140" t="str">
        <f>"336.17"</f>
        <v>336.17</v>
      </c>
      <c r="P140">
        <v>21</v>
      </c>
      <c r="Q140">
        <v>19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1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1</v>
      </c>
      <c r="CY140">
        <v>0</v>
      </c>
      <c r="CZ140">
        <v>0</v>
      </c>
      <c r="DA140">
        <v>0</v>
      </c>
      <c r="DB140">
        <v>0</v>
      </c>
      <c r="DC140">
        <v>1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1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1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1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1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1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1</v>
      </c>
      <c r="MM140">
        <v>0</v>
      </c>
      <c r="MN140">
        <v>1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1</v>
      </c>
      <c r="NF140">
        <v>1</v>
      </c>
      <c r="NG140">
        <v>0</v>
      </c>
      <c r="NH140">
        <v>0</v>
      </c>
      <c r="NI140">
        <v>0</v>
      </c>
      <c r="NJ140">
        <v>0</v>
      </c>
      <c r="NK140">
        <v>0</v>
      </c>
      <c r="NL140">
        <v>2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1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0</v>
      </c>
      <c r="OM140">
        <v>1</v>
      </c>
      <c r="ON140">
        <v>0</v>
      </c>
      <c r="OO140">
        <v>0</v>
      </c>
      <c r="OP140">
        <v>0</v>
      </c>
      <c r="OQ140">
        <v>0</v>
      </c>
      <c r="OR140">
        <v>0</v>
      </c>
      <c r="OS140">
        <v>2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0</v>
      </c>
      <c r="PA140">
        <v>0</v>
      </c>
      <c r="PB140">
        <v>0</v>
      </c>
      <c r="PC140">
        <v>0</v>
      </c>
      <c r="PD140">
        <v>0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1</v>
      </c>
      <c r="PL140">
        <v>0</v>
      </c>
      <c r="PM140">
        <v>0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0</v>
      </c>
      <c r="PU140">
        <v>0</v>
      </c>
      <c r="PV140">
        <v>0</v>
      </c>
      <c r="PW140">
        <v>0</v>
      </c>
      <c r="PX140">
        <v>0</v>
      </c>
      <c r="PY140">
        <v>0</v>
      </c>
      <c r="PZ140">
        <v>0</v>
      </c>
      <c r="QA140">
        <v>0</v>
      </c>
      <c r="QB140">
        <v>0</v>
      </c>
      <c r="QC140">
        <v>0</v>
      </c>
      <c r="QD140">
        <v>0</v>
      </c>
      <c r="QE140">
        <v>0</v>
      </c>
      <c r="QF140">
        <v>0</v>
      </c>
      <c r="QG140">
        <v>0</v>
      </c>
      <c r="QH140">
        <v>0</v>
      </c>
      <c r="QI140">
        <v>0</v>
      </c>
      <c r="QJ140">
        <v>0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0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</row>
    <row r="141" spans="2:467" hidden="1" x14ac:dyDescent="0.4">
      <c r="B141" t="str">
        <f>"9784022951953"</f>
        <v>9784022951953</v>
      </c>
      <c r="C141" t="s">
        <v>978</v>
      </c>
      <c r="D141" t="s">
        <v>979</v>
      </c>
      <c r="E141">
        <v>886</v>
      </c>
      <c r="G141" t="s">
        <v>498</v>
      </c>
      <c r="H141" t="str">
        <f>"0236"</f>
        <v>0236</v>
      </c>
      <c r="I141" t="s">
        <v>481</v>
      </c>
      <c r="J141" t="s">
        <v>482</v>
      </c>
      <c r="K141" t="s">
        <v>505</v>
      </c>
      <c r="L141" s="1">
        <v>44876</v>
      </c>
      <c r="M141">
        <v>910</v>
      </c>
      <c r="N141" t="str">
        <f>"304"</f>
        <v>304</v>
      </c>
      <c r="P141">
        <v>21</v>
      </c>
      <c r="Q141">
        <v>19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1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2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2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1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1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1</v>
      </c>
      <c r="FB141">
        <v>0</v>
      </c>
      <c r="FC141">
        <v>0</v>
      </c>
      <c r="FD141">
        <v>1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1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1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1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1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1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1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1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1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D141">
        <v>0</v>
      </c>
      <c r="NE141">
        <v>1</v>
      </c>
      <c r="NF141">
        <v>0</v>
      </c>
      <c r="NG141">
        <v>0</v>
      </c>
      <c r="NH141">
        <v>0</v>
      </c>
      <c r="NI141">
        <v>0</v>
      </c>
      <c r="NJ141">
        <v>0</v>
      </c>
      <c r="NK141">
        <v>0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0</v>
      </c>
      <c r="NR141">
        <v>1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0</v>
      </c>
      <c r="OM141">
        <v>0</v>
      </c>
      <c r="ON141">
        <v>0</v>
      </c>
      <c r="OO141">
        <v>0</v>
      </c>
      <c r="OP141">
        <v>0</v>
      </c>
      <c r="OQ141">
        <v>0</v>
      </c>
      <c r="OR141">
        <v>0</v>
      </c>
      <c r="OS141">
        <v>0</v>
      </c>
      <c r="OT141">
        <v>0</v>
      </c>
      <c r="OU141">
        <v>0</v>
      </c>
      <c r="OV141">
        <v>0</v>
      </c>
      <c r="OW141">
        <v>0</v>
      </c>
      <c r="OX141">
        <v>0</v>
      </c>
      <c r="OY141">
        <v>0</v>
      </c>
      <c r="OZ141">
        <v>0</v>
      </c>
      <c r="PA141">
        <v>0</v>
      </c>
      <c r="PB141">
        <v>0</v>
      </c>
      <c r="PC141">
        <v>0</v>
      </c>
      <c r="PD141">
        <v>0</v>
      </c>
      <c r="PE141">
        <v>0</v>
      </c>
      <c r="PF141">
        <v>0</v>
      </c>
      <c r="PG141">
        <v>0</v>
      </c>
      <c r="PH141">
        <v>0</v>
      </c>
      <c r="PI141">
        <v>0</v>
      </c>
      <c r="PJ141">
        <v>0</v>
      </c>
      <c r="PK141">
        <v>0</v>
      </c>
      <c r="PL141">
        <v>0</v>
      </c>
      <c r="PM141">
        <v>0</v>
      </c>
      <c r="PN141">
        <v>0</v>
      </c>
      <c r="PO141">
        <v>0</v>
      </c>
      <c r="PP141">
        <v>0</v>
      </c>
      <c r="PQ141">
        <v>0</v>
      </c>
      <c r="PR141">
        <v>0</v>
      </c>
      <c r="PS141">
        <v>0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</v>
      </c>
      <c r="QC141">
        <v>0</v>
      </c>
      <c r="QD141">
        <v>0</v>
      </c>
      <c r="QE141">
        <v>0</v>
      </c>
      <c r="QF141">
        <v>0</v>
      </c>
      <c r="QG141">
        <v>0</v>
      </c>
      <c r="QH141">
        <v>0</v>
      </c>
      <c r="QI141">
        <v>0</v>
      </c>
      <c r="QJ141">
        <v>0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0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1</v>
      </c>
      <c r="QY141">
        <v>0</v>
      </c>
    </row>
    <row r="142" spans="2:467" hidden="1" x14ac:dyDescent="0.4">
      <c r="B142" t="str">
        <f>"9784004319504"</f>
        <v>9784004319504</v>
      </c>
      <c r="C142" t="s">
        <v>865</v>
      </c>
      <c r="D142" t="s">
        <v>866</v>
      </c>
      <c r="E142" t="s">
        <v>867</v>
      </c>
      <c r="G142" t="s">
        <v>521</v>
      </c>
      <c r="H142" t="str">
        <f>"0244"</f>
        <v>0244</v>
      </c>
      <c r="I142" t="s">
        <v>481</v>
      </c>
      <c r="J142" t="s">
        <v>482</v>
      </c>
      <c r="K142" t="s">
        <v>868</v>
      </c>
      <c r="L142" s="1">
        <v>44886</v>
      </c>
      <c r="M142">
        <v>880</v>
      </c>
      <c r="N142" t="str">
        <f>"450"</f>
        <v>450</v>
      </c>
      <c r="P142">
        <v>26</v>
      </c>
      <c r="Q142">
        <v>18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1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2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1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1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1</v>
      </c>
      <c r="IU142">
        <v>1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4</v>
      </c>
      <c r="JG142">
        <v>0</v>
      </c>
      <c r="JH142">
        <v>0</v>
      </c>
      <c r="JI142">
        <v>0</v>
      </c>
      <c r="JJ142">
        <v>2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1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1</v>
      </c>
      <c r="LT142">
        <v>0</v>
      </c>
      <c r="LU142">
        <v>0</v>
      </c>
      <c r="LV142">
        <v>0</v>
      </c>
      <c r="LW142">
        <v>0</v>
      </c>
      <c r="LX142">
        <v>1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1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3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1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</v>
      </c>
      <c r="OA142">
        <v>0</v>
      </c>
      <c r="OB142">
        <v>1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1</v>
      </c>
      <c r="PA142">
        <v>0</v>
      </c>
      <c r="PB142">
        <v>0</v>
      </c>
      <c r="PC142">
        <v>0</v>
      </c>
      <c r="PD142">
        <v>0</v>
      </c>
      <c r="PE142">
        <v>0</v>
      </c>
      <c r="PF142">
        <v>0</v>
      </c>
      <c r="PG142">
        <v>1</v>
      </c>
      <c r="PH142">
        <v>0</v>
      </c>
      <c r="PI142">
        <v>0</v>
      </c>
      <c r="PJ142">
        <v>0</v>
      </c>
      <c r="PK142">
        <v>0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2</v>
      </c>
      <c r="QU142">
        <v>0</v>
      </c>
      <c r="QV142">
        <v>0</v>
      </c>
      <c r="QW142">
        <v>0</v>
      </c>
      <c r="QX142">
        <v>0</v>
      </c>
      <c r="QY142">
        <v>0</v>
      </c>
    </row>
    <row r="143" spans="2:467" x14ac:dyDescent="0.4">
      <c r="B143" t="str">
        <f>"9784041118498"</f>
        <v>9784041118498</v>
      </c>
      <c r="C143" t="s">
        <v>872</v>
      </c>
      <c r="D143" t="s">
        <v>479</v>
      </c>
      <c r="E143" t="s">
        <v>873</v>
      </c>
      <c r="G143" t="s">
        <v>597</v>
      </c>
      <c r="H143" t="str">
        <f>"0110"</f>
        <v>0110</v>
      </c>
      <c r="I143" t="s">
        <v>481</v>
      </c>
      <c r="J143" t="s">
        <v>487</v>
      </c>
      <c r="K143" t="s">
        <v>483</v>
      </c>
      <c r="L143" s="1">
        <v>44855</v>
      </c>
      <c r="M143">
        <v>1400</v>
      </c>
      <c r="N143" t="str">
        <f>"331.6"</f>
        <v>331.6</v>
      </c>
      <c r="P143">
        <v>26</v>
      </c>
      <c r="Q143">
        <v>18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1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1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5</v>
      </c>
      <c r="CI143">
        <v>2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1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1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1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1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1</v>
      </c>
      <c r="HL143">
        <v>0</v>
      </c>
      <c r="HM143">
        <v>1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1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2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1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2</v>
      </c>
      <c r="LX143">
        <v>1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2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1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</v>
      </c>
      <c r="PL143">
        <v>0</v>
      </c>
      <c r="PM143">
        <v>0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</row>
    <row r="144" spans="2:467" x14ac:dyDescent="0.4">
      <c r="B144" t="str">
        <f>"9784022619433"</f>
        <v>9784022619433</v>
      </c>
      <c r="C144" t="s">
        <v>931</v>
      </c>
      <c r="D144" t="s">
        <v>916</v>
      </c>
      <c r="E144" t="s">
        <v>932</v>
      </c>
      <c r="G144" t="s">
        <v>498</v>
      </c>
      <c r="H144" t="str">
        <f>"0136"</f>
        <v>0136</v>
      </c>
      <c r="I144" t="s">
        <v>481</v>
      </c>
      <c r="J144" t="s">
        <v>487</v>
      </c>
      <c r="K144" t="s">
        <v>505</v>
      </c>
      <c r="L144" s="1">
        <v>43378</v>
      </c>
      <c r="M144">
        <v>920</v>
      </c>
      <c r="N144" t="str">
        <f>"367.2"</f>
        <v>367.2</v>
      </c>
      <c r="P144">
        <v>23</v>
      </c>
      <c r="Q144">
        <v>18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1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4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1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1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1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1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1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1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1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1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2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1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1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1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1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1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0</v>
      </c>
      <c r="OH144">
        <v>0</v>
      </c>
      <c r="OI144">
        <v>0</v>
      </c>
      <c r="OJ144">
        <v>0</v>
      </c>
      <c r="OK144">
        <v>0</v>
      </c>
      <c r="OL144">
        <v>0</v>
      </c>
      <c r="OM144">
        <v>0</v>
      </c>
      <c r="ON144">
        <v>0</v>
      </c>
      <c r="OO144">
        <v>0</v>
      </c>
      <c r="OP144">
        <v>0</v>
      </c>
      <c r="OQ144">
        <v>0</v>
      </c>
      <c r="OR144">
        <v>0</v>
      </c>
      <c r="OS144">
        <v>2</v>
      </c>
      <c r="OT144">
        <v>0</v>
      </c>
      <c r="OU144">
        <v>0</v>
      </c>
      <c r="OV144">
        <v>0</v>
      </c>
      <c r="OW144">
        <v>0</v>
      </c>
      <c r="OX144">
        <v>0</v>
      </c>
      <c r="OY144">
        <v>0</v>
      </c>
      <c r="OZ144">
        <v>0</v>
      </c>
      <c r="PA144">
        <v>0</v>
      </c>
      <c r="PB144">
        <v>0</v>
      </c>
      <c r="PC144">
        <v>0</v>
      </c>
      <c r="PD144">
        <v>0</v>
      </c>
      <c r="PE144">
        <v>0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1</v>
      </c>
      <c r="PL144">
        <v>0</v>
      </c>
      <c r="PM144">
        <v>0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</row>
    <row r="145" spans="2:467" hidden="1" x14ac:dyDescent="0.4">
      <c r="B145" t="str">
        <f>"9784560510568"</f>
        <v>9784560510568</v>
      </c>
      <c r="C145" t="s">
        <v>951</v>
      </c>
      <c r="D145" t="s">
        <v>952</v>
      </c>
      <c r="E145" t="s">
        <v>953</v>
      </c>
      <c r="G145" t="s">
        <v>839</v>
      </c>
      <c r="H145" t="str">
        <f>"1231"</f>
        <v>1231</v>
      </c>
      <c r="I145" t="s">
        <v>541</v>
      </c>
      <c r="J145" t="s">
        <v>482</v>
      </c>
      <c r="K145" t="s">
        <v>502</v>
      </c>
      <c r="L145" s="1">
        <v>44945</v>
      </c>
      <c r="M145">
        <v>1200</v>
      </c>
      <c r="N145" t="str">
        <f>"311.7"</f>
        <v>311.7</v>
      </c>
      <c r="P145">
        <v>22</v>
      </c>
      <c r="Q145">
        <v>18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1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1</v>
      </c>
      <c r="CE145">
        <v>0</v>
      </c>
      <c r="CF145">
        <v>0</v>
      </c>
      <c r="CG145">
        <v>0</v>
      </c>
      <c r="CH145">
        <v>1</v>
      </c>
      <c r="CI145">
        <v>1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2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1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2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1</v>
      </c>
      <c r="HD145">
        <v>0</v>
      </c>
      <c r="HE145">
        <v>0</v>
      </c>
      <c r="HF145">
        <v>1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1</v>
      </c>
      <c r="IC145">
        <v>0</v>
      </c>
      <c r="ID145">
        <v>1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1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2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2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1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0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1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0</v>
      </c>
      <c r="PL145">
        <v>0</v>
      </c>
      <c r="PM145">
        <v>0</v>
      </c>
      <c r="PN145">
        <v>0</v>
      </c>
      <c r="PO145">
        <v>0</v>
      </c>
      <c r="PP145">
        <v>0</v>
      </c>
      <c r="PQ145">
        <v>0</v>
      </c>
      <c r="PR145">
        <v>0</v>
      </c>
      <c r="PS145">
        <v>0</v>
      </c>
      <c r="PT145">
        <v>0</v>
      </c>
      <c r="PU145">
        <v>0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0</v>
      </c>
      <c r="QB145">
        <v>0</v>
      </c>
      <c r="QC145">
        <v>0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0</v>
      </c>
      <c r="QJ145">
        <v>0</v>
      </c>
      <c r="QK145">
        <v>0</v>
      </c>
      <c r="QL145">
        <v>0</v>
      </c>
      <c r="QM145">
        <v>0</v>
      </c>
      <c r="QN145">
        <v>0</v>
      </c>
      <c r="QO145">
        <v>1</v>
      </c>
      <c r="QP145">
        <v>0</v>
      </c>
      <c r="QQ145">
        <v>0</v>
      </c>
      <c r="QR145">
        <v>0</v>
      </c>
      <c r="QS145">
        <v>0</v>
      </c>
      <c r="QT145">
        <v>0</v>
      </c>
      <c r="QU145">
        <v>0</v>
      </c>
      <c r="QV145">
        <v>0</v>
      </c>
      <c r="QW145">
        <v>0</v>
      </c>
      <c r="QX145">
        <v>0</v>
      </c>
      <c r="QY145">
        <v>0</v>
      </c>
    </row>
    <row r="146" spans="2:467" x14ac:dyDescent="0.4">
      <c r="B146" t="str">
        <f>"9784122072688"</f>
        <v>9784122072688</v>
      </c>
      <c r="C146" t="s">
        <v>958</v>
      </c>
      <c r="D146" t="s">
        <v>803</v>
      </c>
      <c r="E146" t="s">
        <v>959</v>
      </c>
      <c r="G146" t="s">
        <v>540</v>
      </c>
      <c r="H146" t="str">
        <f>"1193"</f>
        <v>1193</v>
      </c>
      <c r="I146" t="s">
        <v>541</v>
      </c>
      <c r="J146" t="s">
        <v>487</v>
      </c>
      <c r="K146" t="s">
        <v>488</v>
      </c>
      <c r="L146" s="1">
        <v>44855</v>
      </c>
      <c r="M146">
        <v>840</v>
      </c>
      <c r="N146" t="str">
        <f>"913.6"</f>
        <v>913.6</v>
      </c>
      <c r="P146">
        <v>22</v>
      </c>
      <c r="Q146">
        <v>18</v>
      </c>
      <c r="R146">
        <v>0</v>
      </c>
      <c r="S146">
        <v>0</v>
      </c>
      <c r="T146">
        <v>2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2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1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1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1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1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1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1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1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1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1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3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1</v>
      </c>
      <c r="JP146">
        <v>0</v>
      </c>
      <c r="JQ146">
        <v>1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1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1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0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1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</row>
    <row r="147" spans="2:467" hidden="1" x14ac:dyDescent="0.4">
      <c r="B147" t="str">
        <f>"9784838775095"</f>
        <v>9784838775095</v>
      </c>
      <c r="C147" t="s">
        <v>980</v>
      </c>
      <c r="D147" t="s">
        <v>981</v>
      </c>
      <c r="E147">
        <v>8</v>
      </c>
      <c r="G147" t="s">
        <v>982</v>
      </c>
      <c r="H147" t="str">
        <f>"0236"</f>
        <v>0236</v>
      </c>
      <c r="I147" t="s">
        <v>481</v>
      </c>
      <c r="J147" t="s">
        <v>482</v>
      </c>
      <c r="K147" t="s">
        <v>505</v>
      </c>
      <c r="L147" s="1">
        <v>44833</v>
      </c>
      <c r="M147">
        <v>1000</v>
      </c>
      <c r="N147" t="str">
        <f>"304"</f>
        <v>304</v>
      </c>
      <c r="P147">
        <v>21</v>
      </c>
      <c r="Q147">
        <v>18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1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1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1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2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2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1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1</v>
      </c>
      <c r="ER147">
        <v>0</v>
      </c>
      <c r="ES147">
        <v>0</v>
      </c>
      <c r="ET147">
        <v>1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1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1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1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1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0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2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1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1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0</v>
      </c>
      <c r="PT147">
        <v>0</v>
      </c>
      <c r="PU147">
        <v>0</v>
      </c>
      <c r="PV147">
        <v>0</v>
      </c>
      <c r="PW147">
        <v>0</v>
      </c>
      <c r="PX147">
        <v>0</v>
      </c>
      <c r="PY147">
        <v>0</v>
      </c>
      <c r="PZ147">
        <v>0</v>
      </c>
      <c r="QA147">
        <v>0</v>
      </c>
      <c r="QB147">
        <v>0</v>
      </c>
      <c r="QC147">
        <v>0</v>
      </c>
      <c r="QD147">
        <v>0</v>
      </c>
      <c r="QE147">
        <v>0</v>
      </c>
      <c r="QF147">
        <v>0</v>
      </c>
      <c r="QG147">
        <v>0</v>
      </c>
      <c r="QH147">
        <v>0</v>
      </c>
      <c r="QI147">
        <v>0</v>
      </c>
      <c r="QJ147">
        <v>0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0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</row>
    <row r="148" spans="2:467" x14ac:dyDescent="0.4">
      <c r="B148" t="str">
        <f>"9784582809121"</f>
        <v>9784582809121</v>
      </c>
      <c r="C148" t="s">
        <v>983</v>
      </c>
      <c r="D148" t="s">
        <v>984</v>
      </c>
      <c r="E148">
        <v>912</v>
      </c>
      <c r="G148" t="s">
        <v>669</v>
      </c>
      <c r="H148" t="str">
        <f>"0122"</f>
        <v>0122</v>
      </c>
      <c r="I148" t="s">
        <v>481</v>
      </c>
      <c r="J148" t="s">
        <v>487</v>
      </c>
      <c r="K148" t="s">
        <v>579</v>
      </c>
      <c r="L148" s="1">
        <v>44953</v>
      </c>
      <c r="M148">
        <v>3500</v>
      </c>
      <c r="N148" t="str">
        <f>"225.04"</f>
        <v>225.04</v>
      </c>
      <c r="P148">
        <v>21</v>
      </c>
      <c r="Q148">
        <v>18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0</v>
      </c>
      <c r="CD148">
        <v>1</v>
      </c>
      <c r="CE148">
        <v>0</v>
      </c>
      <c r="CF148">
        <v>0</v>
      </c>
      <c r="CG148">
        <v>0</v>
      </c>
      <c r="CH148">
        <v>1</v>
      </c>
      <c r="CI148">
        <v>1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4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1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1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1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1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1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1</v>
      </c>
      <c r="IE148">
        <v>0</v>
      </c>
      <c r="IF148">
        <v>1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1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1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1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1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</v>
      </c>
      <c r="PL148">
        <v>0</v>
      </c>
      <c r="PM148">
        <v>0</v>
      </c>
      <c r="PN148">
        <v>0</v>
      </c>
      <c r="PO148">
        <v>0</v>
      </c>
      <c r="PP148">
        <v>0</v>
      </c>
      <c r="PQ148">
        <v>0</v>
      </c>
      <c r="PR148">
        <v>0</v>
      </c>
      <c r="PS148">
        <v>0</v>
      </c>
      <c r="PT148">
        <v>1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1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</row>
    <row r="149" spans="2:467" x14ac:dyDescent="0.4">
      <c r="B149" t="str">
        <f>"9784003812815"</f>
        <v>9784003812815</v>
      </c>
      <c r="C149" t="s">
        <v>988</v>
      </c>
      <c r="D149" t="s">
        <v>989</v>
      </c>
      <c r="E149" t="s">
        <v>990</v>
      </c>
      <c r="G149" t="s">
        <v>521</v>
      </c>
      <c r="H149" t="str">
        <f>"0195"</f>
        <v>0195</v>
      </c>
      <c r="I149" t="s">
        <v>481</v>
      </c>
      <c r="J149" t="s">
        <v>487</v>
      </c>
      <c r="K149" t="s">
        <v>509</v>
      </c>
      <c r="L149" s="1">
        <v>43727</v>
      </c>
      <c r="M149">
        <v>1130</v>
      </c>
      <c r="N149" t="str">
        <f>"918.68"</f>
        <v>918.68</v>
      </c>
      <c r="P149">
        <v>20</v>
      </c>
      <c r="Q149">
        <v>18</v>
      </c>
      <c r="R149">
        <v>0</v>
      </c>
      <c r="S149">
        <v>1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1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1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2</v>
      </c>
      <c r="FW149">
        <v>0</v>
      </c>
      <c r="FX149">
        <v>1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1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1</v>
      </c>
      <c r="JG149">
        <v>0</v>
      </c>
      <c r="JH149">
        <v>0</v>
      </c>
      <c r="JI149">
        <v>1</v>
      </c>
      <c r="JJ149">
        <v>0</v>
      </c>
      <c r="JK149">
        <v>0</v>
      </c>
      <c r="JL149">
        <v>0</v>
      </c>
      <c r="JM149">
        <v>1</v>
      </c>
      <c r="JN149">
        <v>0</v>
      </c>
      <c r="JO149">
        <v>0</v>
      </c>
      <c r="JP149">
        <v>0</v>
      </c>
      <c r="JQ149">
        <v>1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1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</v>
      </c>
      <c r="NK149">
        <v>0</v>
      </c>
      <c r="NL149">
        <v>0</v>
      </c>
      <c r="NM149">
        <v>0</v>
      </c>
      <c r="NN149">
        <v>0</v>
      </c>
      <c r="NO149">
        <v>0</v>
      </c>
      <c r="NP149">
        <v>0</v>
      </c>
      <c r="NQ149">
        <v>0</v>
      </c>
      <c r="NR149">
        <v>0</v>
      </c>
      <c r="NS149">
        <v>0</v>
      </c>
      <c r="NT149">
        <v>0</v>
      </c>
      <c r="NU149">
        <v>0</v>
      </c>
      <c r="NV149">
        <v>0</v>
      </c>
      <c r="NW149">
        <v>0</v>
      </c>
      <c r="NX149">
        <v>0</v>
      </c>
      <c r="NY149">
        <v>1</v>
      </c>
      <c r="NZ149">
        <v>0</v>
      </c>
      <c r="OA149">
        <v>0</v>
      </c>
      <c r="OB149">
        <v>0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2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0</v>
      </c>
      <c r="OR149">
        <v>0</v>
      </c>
      <c r="OS149">
        <v>1</v>
      </c>
      <c r="OT149">
        <v>0</v>
      </c>
      <c r="OU149">
        <v>0</v>
      </c>
      <c r="OV149">
        <v>0</v>
      </c>
      <c r="OW149">
        <v>0</v>
      </c>
      <c r="OX149">
        <v>1</v>
      </c>
      <c r="OY149">
        <v>0</v>
      </c>
      <c r="OZ149">
        <v>0</v>
      </c>
      <c r="PA149">
        <v>0</v>
      </c>
      <c r="PB149">
        <v>0</v>
      </c>
      <c r="PC149">
        <v>0</v>
      </c>
      <c r="PD149">
        <v>0</v>
      </c>
      <c r="PE149">
        <v>0</v>
      </c>
      <c r="PF149">
        <v>0</v>
      </c>
      <c r="PG149">
        <v>0</v>
      </c>
      <c r="PH149">
        <v>0</v>
      </c>
      <c r="PI149">
        <v>0</v>
      </c>
      <c r="PJ149">
        <v>0</v>
      </c>
      <c r="PK149">
        <v>0</v>
      </c>
      <c r="PL149">
        <v>0</v>
      </c>
      <c r="PM149">
        <v>0</v>
      </c>
      <c r="PN149">
        <v>0</v>
      </c>
      <c r="PO149">
        <v>0</v>
      </c>
      <c r="PP149">
        <v>0</v>
      </c>
      <c r="PQ149">
        <v>0</v>
      </c>
      <c r="PR149">
        <v>0</v>
      </c>
      <c r="PS149">
        <v>0</v>
      </c>
      <c r="PT149">
        <v>0</v>
      </c>
      <c r="PU149">
        <v>0</v>
      </c>
      <c r="PV149">
        <v>0</v>
      </c>
      <c r="PW149">
        <v>0</v>
      </c>
      <c r="PX149">
        <v>0</v>
      </c>
      <c r="PY149">
        <v>0</v>
      </c>
      <c r="PZ149">
        <v>0</v>
      </c>
      <c r="QA149">
        <v>0</v>
      </c>
      <c r="QB149">
        <v>0</v>
      </c>
      <c r="QC149">
        <v>0</v>
      </c>
      <c r="QD149">
        <v>0</v>
      </c>
      <c r="QE149">
        <v>0</v>
      </c>
      <c r="QF149">
        <v>0</v>
      </c>
      <c r="QG149">
        <v>0</v>
      </c>
      <c r="QH149">
        <v>0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1</v>
      </c>
      <c r="QY149">
        <v>0</v>
      </c>
    </row>
    <row r="150" spans="2:467" x14ac:dyDescent="0.4">
      <c r="B150" t="str">
        <f>"9784480511485"</f>
        <v>9784480511485</v>
      </c>
      <c r="C150" t="s">
        <v>1014</v>
      </c>
      <c r="D150" t="s">
        <v>1015</v>
      </c>
      <c r="E150" t="s">
        <v>1016</v>
      </c>
      <c r="G150" t="s">
        <v>501</v>
      </c>
      <c r="H150" t="str">
        <f>"0181"</f>
        <v>0181</v>
      </c>
      <c r="I150" t="s">
        <v>481</v>
      </c>
      <c r="J150" t="s">
        <v>487</v>
      </c>
      <c r="K150" t="s">
        <v>655</v>
      </c>
      <c r="L150" s="1">
        <v>44904</v>
      </c>
      <c r="M150">
        <v>1500</v>
      </c>
      <c r="N150" t="str">
        <f>"817.5"</f>
        <v>817.5</v>
      </c>
      <c r="P150">
        <v>20</v>
      </c>
      <c r="Q150">
        <v>18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1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1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1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1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1</v>
      </c>
      <c r="FE150">
        <v>1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1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1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1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1</v>
      </c>
      <c r="KC150">
        <v>1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1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2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1</v>
      </c>
      <c r="MW150">
        <v>0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0</v>
      </c>
      <c r="NL150">
        <v>0</v>
      </c>
      <c r="NM150">
        <v>0</v>
      </c>
      <c r="NN150">
        <v>0</v>
      </c>
      <c r="NO150">
        <v>0</v>
      </c>
      <c r="NP150">
        <v>0</v>
      </c>
      <c r="NQ150">
        <v>0</v>
      </c>
      <c r="NR150">
        <v>0</v>
      </c>
      <c r="NS150">
        <v>0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0</v>
      </c>
      <c r="OH150">
        <v>0</v>
      </c>
      <c r="OI150">
        <v>0</v>
      </c>
      <c r="OJ150">
        <v>0</v>
      </c>
      <c r="OK150">
        <v>0</v>
      </c>
      <c r="OL150">
        <v>0</v>
      </c>
      <c r="OM150">
        <v>0</v>
      </c>
      <c r="ON150">
        <v>0</v>
      </c>
      <c r="OO150">
        <v>0</v>
      </c>
      <c r="OP150">
        <v>0</v>
      </c>
      <c r="OQ150">
        <v>0</v>
      </c>
      <c r="OR150">
        <v>0</v>
      </c>
      <c r="OS150">
        <v>0</v>
      </c>
      <c r="OT150">
        <v>0</v>
      </c>
      <c r="OU150">
        <v>0</v>
      </c>
      <c r="OV150">
        <v>0</v>
      </c>
      <c r="OW150">
        <v>0</v>
      </c>
      <c r="OX150">
        <v>0</v>
      </c>
      <c r="OY150">
        <v>0</v>
      </c>
      <c r="OZ150">
        <v>0</v>
      </c>
      <c r="PA150">
        <v>0</v>
      </c>
      <c r="PB150">
        <v>0</v>
      </c>
      <c r="PC150">
        <v>0</v>
      </c>
      <c r="PD150">
        <v>0</v>
      </c>
      <c r="PE150">
        <v>0</v>
      </c>
      <c r="PF150">
        <v>0</v>
      </c>
      <c r="PG150">
        <v>0</v>
      </c>
      <c r="PH150">
        <v>0</v>
      </c>
      <c r="PI150">
        <v>0</v>
      </c>
      <c r="PJ150">
        <v>0</v>
      </c>
      <c r="PK150">
        <v>0</v>
      </c>
      <c r="PL150">
        <v>0</v>
      </c>
      <c r="PM150">
        <v>1</v>
      </c>
      <c r="PN150">
        <v>0</v>
      </c>
      <c r="PO150">
        <v>0</v>
      </c>
      <c r="PP150">
        <v>0</v>
      </c>
      <c r="PQ150">
        <v>0</v>
      </c>
      <c r="PR150">
        <v>0</v>
      </c>
      <c r="PS150">
        <v>0</v>
      </c>
      <c r="PT150">
        <v>0</v>
      </c>
      <c r="PU150">
        <v>0</v>
      </c>
      <c r="PV150">
        <v>1</v>
      </c>
      <c r="PW150">
        <v>0</v>
      </c>
      <c r="PX150">
        <v>0</v>
      </c>
      <c r="PY150">
        <v>0</v>
      </c>
      <c r="PZ150">
        <v>0</v>
      </c>
      <c r="QA150">
        <v>1</v>
      </c>
      <c r="QB150">
        <v>0</v>
      </c>
      <c r="QC150">
        <v>0</v>
      </c>
      <c r="QD150">
        <v>0</v>
      </c>
      <c r="QE150">
        <v>0</v>
      </c>
      <c r="QF150">
        <v>0</v>
      </c>
      <c r="QG150">
        <v>0</v>
      </c>
      <c r="QH150">
        <v>0</v>
      </c>
      <c r="QI150">
        <v>0</v>
      </c>
      <c r="QJ150">
        <v>0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0</v>
      </c>
      <c r="QY150">
        <v>0</v>
      </c>
    </row>
    <row r="151" spans="2:467" hidden="1" x14ac:dyDescent="0.4">
      <c r="B151" t="str">
        <f>"9784121507815"</f>
        <v>9784121507815</v>
      </c>
      <c r="C151" t="s">
        <v>1033</v>
      </c>
      <c r="D151" t="s">
        <v>1034</v>
      </c>
      <c r="E151">
        <v>781</v>
      </c>
      <c r="G151" t="s">
        <v>540</v>
      </c>
      <c r="H151" t="str">
        <f>"1236"</f>
        <v>1236</v>
      </c>
      <c r="I151" t="s">
        <v>541</v>
      </c>
      <c r="J151" t="s">
        <v>482</v>
      </c>
      <c r="K151" t="s">
        <v>505</v>
      </c>
      <c r="L151" s="1">
        <v>44903</v>
      </c>
      <c r="M151">
        <v>900</v>
      </c>
      <c r="N151" t="str">
        <f>"336.4"</f>
        <v>336.4</v>
      </c>
      <c r="P151">
        <v>19</v>
      </c>
      <c r="Q151">
        <v>18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1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1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1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1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1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1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2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1</v>
      </c>
      <c r="IK151">
        <v>0</v>
      </c>
      <c r="IL151">
        <v>1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1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1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1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1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0</v>
      </c>
      <c r="MS151">
        <v>0</v>
      </c>
      <c r="MT151">
        <v>0</v>
      </c>
      <c r="MU151">
        <v>0</v>
      </c>
      <c r="MV151">
        <v>1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</v>
      </c>
      <c r="NK151">
        <v>0</v>
      </c>
      <c r="NL151">
        <v>0</v>
      </c>
      <c r="NM151">
        <v>0</v>
      </c>
      <c r="NN151">
        <v>0</v>
      </c>
      <c r="NO151">
        <v>0</v>
      </c>
      <c r="NP151">
        <v>0</v>
      </c>
      <c r="NQ151">
        <v>0</v>
      </c>
      <c r="NR151">
        <v>1</v>
      </c>
      <c r="NS151">
        <v>0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0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0</v>
      </c>
      <c r="OH151">
        <v>0</v>
      </c>
      <c r="OI151">
        <v>0</v>
      </c>
      <c r="OJ151">
        <v>0</v>
      </c>
      <c r="OK151">
        <v>0</v>
      </c>
      <c r="OL151">
        <v>0</v>
      </c>
      <c r="OM151">
        <v>0</v>
      </c>
      <c r="ON151">
        <v>0</v>
      </c>
      <c r="OO151">
        <v>0</v>
      </c>
      <c r="OP151">
        <v>0</v>
      </c>
      <c r="OQ151">
        <v>0</v>
      </c>
      <c r="OR151">
        <v>0</v>
      </c>
      <c r="OS151">
        <v>1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0</v>
      </c>
      <c r="OZ151">
        <v>0</v>
      </c>
      <c r="PA151">
        <v>0</v>
      </c>
      <c r="PB151">
        <v>0</v>
      </c>
      <c r="PC151">
        <v>0</v>
      </c>
      <c r="PD151">
        <v>0</v>
      </c>
      <c r="PE151">
        <v>0</v>
      </c>
      <c r="PF151">
        <v>0</v>
      </c>
      <c r="PG151">
        <v>0</v>
      </c>
      <c r="PH151">
        <v>0</v>
      </c>
      <c r="PI151">
        <v>0</v>
      </c>
      <c r="PJ151">
        <v>0</v>
      </c>
      <c r="PK151">
        <v>0</v>
      </c>
      <c r="PL151">
        <v>0</v>
      </c>
      <c r="PM151">
        <v>1</v>
      </c>
      <c r="PN151">
        <v>0</v>
      </c>
      <c r="PO151">
        <v>0</v>
      </c>
      <c r="PP151">
        <v>0</v>
      </c>
      <c r="PQ151">
        <v>0</v>
      </c>
      <c r="PR151">
        <v>0</v>
      </c>
      <c r="PS151">
        <v>0</v>
      </c>
      <c r="PT151">
        <v>0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</v>
      </c>
      <c r="QK151">
        <v>0</v>
      </c>
      <c r="QL151">
        <v>0</v>
      </c>
      <c r="QM151">
        <v>0</v>
      </c>
      <c r="QN151">
        <v>0</v>
      </c>
      <c r="QO151">
        <v>0</v>
      </c>
      <c r="QP151">
        <v>0</v>
      </c>
      <c r="QQ151">
        <v>0</v>
      </c>
      <c r="QR151">
        <v>0</v>
      </c>
      <c r="QS151">
        <v>0</v>
      </c>
      <c r="QT151">
        <v>0</v>
      </c>
      <c r="QU151">
        <v>0</v>
      </c>
      <c r="QV151">
        <v>0</v>
      </c>
      <c r="QW151">
        <v>0</v>
      </c>
      <c r="QX151">
        <v>0</v>
      </c>
      <c r="QY151">
        <v>0</v>
      </c>
    </row>
    <row r="152" spans="2:467" hidden="1" x14ac:dyDescent="0.4">
      <c r="B152" t="str">
        <f>"9784121507853"</f>
        <v>9784121507853</v>
      </c>
      <c r="C152" t="s">
        <v>1048</v>
      </c>
      <c r="D152" t="s">
        <v>1049</v>
      </c>
      <c r="E152">
        <v>785</v>
      </c>
      <c r="G152" t="s">
        <v>540</v>
      </c>
      <c r="H152" t="str">
        <f>"1231"</f>
        <v>1231</v>
      </c>
      <c r="I152" t="s">
        <v>541</v>
      </c>
      <c r="J152" t="s">
        <v>482</v>
      </c>
      <c r="K152" t="s">
        <v>502</v>
      </c>
      <c r="L152" s="1">
        <v>44933</v>
      </c>
      <c r="M152">
        <v>860</v>
      </c>
      <c r="N152" t="str">
        <f>"392.1"</f>
        <v>392.1</v>
      </c>
      <c r="P152">
        <v>19</v>
      </c>
      <c r="Q152">
        <v>18</v>
      </c>
      <c r="R152">
        <v>0</v>
      </c>
      <c r="S152">
        <v>1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1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1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1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1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</v>
      </c>
      <c r="FP152">
        <v>0</v>
      </c>
      <c r="FQ152">
        <v>0</v>
      </c>
      <c r="FR152">
        <v>0</v>
      </c>
      <c r="FS152">
        <v>0</v>
      </c>
      <c r="FT152">
        <v>1</v>
      </c>
      <c r="FU152">
        <v>0</v>
      </c>
      <c r="FV152">
        <v>1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2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1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1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1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1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1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0</v>
      </c>
      <c r="NK152">
        <v>0</v>
      </c>
      <c r="NL152">
        <v>0</v>
      </c>
      <c r="NM152">
        <v>0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0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0</v>
      </c>
      <c r="NZ152">
        <v>0</v>
      </c>
      <c r="OA152">
        <v>0</v>
      </c>
      <c r="OB152">
        <v>1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0</v>
      </c>
      <c r="OM152">
        <v>0</v>
      </c>
      <c r="ON152">
        <v>0</v>
      </c>
      <c r="OO152">
        <v>0</v>
      </c>
      <c r="OP152">
        <v>0</v>
      </c>
      <c r="OQ152">
        <v>0</v>
      </c>
      <c r="OR152">
        <v>0</v>
      </c>
      <c r="OS152">
        <v>1</v>
      </c>
      <c r="OT152">
        <v>0</v>
      </c>
      <c r="OU152">
        <v>0</v>
      </c>
      <c r="OV152">
        <v>0</v>
      </c>
      <c r="OW152">
        <v>0</v>
      </c>
      <c r="OX152">
        <v>0</v>
      </c>
      <c r="OY152">
        <v>0</v>
      </c>
      <c r="OZ152">
        <v>0</v>
      </c>
      <c r="PA152">
        <v>0</v>
      </c>
      <c r="PB152">
        <v>0</v>
      </c>
      <c r="PC152">
        <v>0</v>
      </c>
      <c r="PD152">
        <v>0</v>
      </c>
      <c r="PE152">
        <v>0</v>
      </c>
      <c r="PF152">
        <v>0</v>
      </c>
      <c r="PG152">
        <v>0</v>
      </c>
      <c r="PH152">
        <v>0</v>
      </c>
      <c r="PI152">
        <v>0</v>
      </c>
      <c r="PJ152">
        <v>0</v>
      </c>
      <c r="PK152">
        <v>0</v>
      </c>
      <c r="PL152">
        <v>0</v>
      </c>
      <c r="PM152">
        <v>0</v>
      </c>
      <c r="PN152">
        <v>0</v>
      </c>
      <c r="PO152">
        <v>0</v>
      </c>
      <c r="PP152">
        <v>0</v>
      </c>
      <c r="PQ152">
        <v>0</v>
      </c>
      <c r="PR152">
        <v>0</v>
      </c>
      <c r="PS152">
        <v>0</v>
      </c>
      <c r="PT152">
        <v>0</v>
      </c>
      <c r="PU152">
        <v>0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0</v>
      </c>
      <c r="QY152">
        <v>0</v>
      </c>
    </row>
    <row r="153" spans="2:467" hidden="1" x14ac:dyDescent="0.4">
      <c r="B153" t="str">
        <f>"9784022952004"</f>
        <v>9784022952004</v>
      </c>
      <c r="C153" t="s">
        <v>1056</v>
      </c>
      <c r="D153" t="s">
        <v>1057</v>
      </c>
      <c r="E153">
        <v>892</v>
      </c>
      <c r="G153" t="s">
        <v>498</v>
      </c>
      <c r="H153" t="str">
        <f>"0295"</f>
        <v>0295</v>
      </c>
      <c r="I153" t="s">
        <v>481</v>
      </c>
      <c r="J153" t="s">
        <v>482</v>
      </c>
      <c r="K153" t="s">
        <v>509</v>
      </c>
      <c r="L153" s="1">
        <v>44908</v>
      </c>
      <c r="M153">
        <v>850</v>
      </c>
      <c r="N153" t="str">
        <f>"910.26"</f>
        <v>910.26</v>
      </c>
      <c r="P153">
        <v>19</v>
      </c>
      <c r="Q153">
        <v>18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1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1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1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1</v>
      </c>
      <c r="DC153">
        <v>1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1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1</v>
      </c>
      <c r="FU153">
        <v>0</v>
      </c>
      <c r="FV153">
        <v>0</v>
      </c>
      <c r="FW153">
        <v>0</v>
      </c>
      <c r="FX153">
        <v>0</v>
      </c>
      <c r="FY153">
        <v>1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1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1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1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1</v>
      </c>
      <c r="LX153">
        <v>0</v>
      </c>
      <c r="LY153">
        <v>0</v>
      </c>
      <c r="LZ153">
        <v>1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2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</v>
      </c>
      <c r="NE153">
        <v>1</v>
      </c>
      <c r="NF153">
        <v>0</v>
      </c>
      <c r="NG153">
        <v>0</v>
      </c>
      <c r="NH153">
        <v>0</v>
      </c>
      <c r="NI153">
        <v>0</v>
      </c>
      <c r="NJ153">
        <v>0</v>
      </c>
      <c r="NK153">
        <v>0</v>
      </c>
      <c r="NL153">
        <v>0</v>
      </c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0</v>
      </c>
      <c r="OM153">
        <v>0</v>
      </c>
      <c r="ON153">
        <v>0</v>
      </c>
      <c r="OO153">
        <v>0</v>
      </c>
      <c r="OP153">
        <v>0</v>
      </c>
      <c r="OQ153">
        <v>0</v>
      </c>
      <c r="OR153">
        <v>0</v>
      </c>
      <c r="OS153">
        <v>0</v>
      </c>
      <c r="OT153">
        <v>1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0</v>
      </c>
      <c r="PL153">
        <v>0</v>
      </c>
      <c r="PM153">
        <v>0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0</v>
      </c>
      <c r="PT153">
        <v>0</v>
      </c>
      <c r="PU153">
        <v>0</v>
      </c>
      <c r="PV153">
        <v>0</v>
      </c>
      <c r="PW153">
        <v>1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0</v>
      </c>
      <c r="QG153">
        <v>0</v>
      </c>
      <c r="QH153">
        <v>0</v>
      </c>
      <c r="QI153">
        <v>0</v>
      </c>
      <c r="QJ153">
        <v>0</v>
      </c>
      <c r="QK153">
        <v>1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</row>
    <row r="154" spans="2:467" hidden="1" x14ac:dyDescent="0.4">
      <c r="B154" t="str">
        <f>"9784106109591"</f>
        <v>9784106109591</v>
      </c>
      <c r="C154" t="s">
        <v>999</v>
      </c>
      <c r="D154" t="s">
        <v>705</v>
      </c>
      <c r="E154">
        <v>959</v>
      </c>
      <c r="G154" t="s">
        <v>516</v>
      </c>
      <c r="H154" t="str">
        <f>"0247"</f>
        <v>0247</v>
      </c>
      <c r="I154" t="s">
        <v>481</v>
      </c>
      <c r="J154" t="s">
        <v>482</v>
      </c>
      <c r="K154" t="s">
        <v>670</v>
      </c>
      <c r="L154" s="1">
        <v>44757</v>
      </c>
      <c r="M154">
        <v>1000</v>
      </c>
      <c r="N154" t="str">
        <f>"491.371"</f>
        <v>491.371</v>
      </c>
      <c r="P154">
        <v>20</v>
      </c>
      <c r="Q154">
        <v>17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1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2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1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1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2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1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1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1</v>
      </c>
      <c r="JN154">
        <v>0</v>
      </c>
      <c r="JO154">
        <v>0</v>
      </c>
      <c r="JP154">
        <v>0</v>
      </c>
      <c r="JQ154">
        <v>0</v>
      </c>
      <c r="JR154">
        <v>1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1</v>
      </c>
      <c r="KA154">
        <v>0</v>
      </c>
      <c r="KB154">
        <v>1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0</v>
      </c>
      <c r="NL154">
        <v>0</v>
      </c>
      <c r="NM154">
        <v>0</v>
      </c>
      <c r="NN154">
        <v>0</v>
      </c>
      <c r="NO154">
        <v>0</v>
      </c>
      <c r="NP154">
        <v>0</v>
      </c>
      <c r="NQ154">
        <v>0</v>
      </c>
      <c r="NR154">
        <v>1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</v>
      </c>
      <c r="OA154">
        <v>0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0</v>
      </c>
      <c r="OY154">
        <v>0</v>
      </c>
      <c r="OZ154">
        <v>0</v>
      </c>
      <c r="PA154">
        <v>0</v>
      </c>
      <c r="PB154">
        <v>0</v>
      </c>
      <c r="PC154">
        <v>0</v>
      </c>
      <c r="PD154">
        <v>0</v>
      </c>
      <c r="PE154">
        <v>0</v>
      </c>
      <c r="PF154">
        <v>0</v>
      </c>
      <c r="PG154">
        <v>0</v>
      </c>
      <c r="PH154">
        <v>0</v>
      </c>
      <c r="PI154">
        <v>0</v>
      </c>
      <c r="PJ154">
        <v>0</v>
      </c>
      <c r="PK154">
        <v>0</v>
      </c>
      <c r="PL154">
        <v>0</v>
      </c>
      <c r="PM154">
        <v>2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0</v>
      </c>
      <c r="PT154">
        <v>0</v>
      </c>
      <c r="PU154">
        <v>0</v>
      </c>
      <c r="PV154">
        <v>1</v>
      </c>
      <c r="PW154">
        <v>0</v>
      </c>
      <c r="PX154">
        <v>0</v>
      </c>
      <c r="PY154">
        <v>0</v>
      </c>
      <c r="PZ154">
        <v>0</v>
      </c>
      <c r="QA154">
        <v>0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</v>
      </c>
      <c r="QK154">
        <v>0</v>
      </c>
      <c r="QL154">
        <v>0</v>
      </c>
      <c r="QM154">
        <v>0</v>
      </c>
      <c r="QN154">
        <v>0</v>
      </c>
      <c r="QO154">
        <v>1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</row>
    <row r="155" spans="2:467" hidden="1" x14ac:dyDescent="0.4">
      <c r="B155" t="str">
        <f>"9784166613878"</f>
        <v>9784166613878</v>
      </c>
      <c r="C155" t="s">
        <v>1000</v>
      </c>
      <c r="D155" t="s">
        <v>1001</v>
      </c>
      <c r="E155">
        <v>1387</v>
      </c>
      <c r="G155" t="s">
        <v>639</v>
      </c>
      <c r="H155" t="str">
        <f>"0295"</f>
        <v>0295</v>
      </c>
      <c r="I155" t="s">
        <v>481</v>
      </c>
      <c r="J155" t="s">
        <v>482</v>
      </c>
      <c r="K155" t="s">
        <v>509</v>
      </c>
      <c r="L155" s="1">
        <v>44910</v>
      </c>
      <c r="M155">
        <v>900</v>
      </c>
      <c r="N155" t="str">
        <f>"007.1"</f>
        <v>007.1</v>
      </c>
      <c r="P155">
        <v>20</v>
      </c>
      <c r="Q155">
        <v>17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1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1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1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1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1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1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3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1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1</v>
      </c>
      <c r="JV155">
        <v>0</v>
      </c>
      <c r="JW155">
        <v>1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1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2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1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1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0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1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1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</row>
    <row r="156" spans="2:467" x14ac:dyDescent="0.4">
      <c r="B156" t="str">
        <f>"9784101033815"</f>
        <v>9784101033815</v>
      </c>
      <c r="C156" t="s">
        <v>1004</v>
      </c>
      <c r="D156" t="s">
        <v>551</v>
      </c>
      <c r="E156" t="s">
        <v>1005</v>
      </c>
      <c r="G156" t="s">
        <v>516</v>
      </c>
      <c r="H156" t="str">
        <f>"0177"</f>
        <v>0177</v>
      </c>
      <c r="I156" t="s">
        <v>481</v>
      </c>
      <c r="J156" t="s">
        <v>487</v>
      </c>
      <c r="K156" t="s">
        <v>1006</v>
      </c>
      <c r="L156" s="1">
        <v>44497</v>
      </c>
      <c r="M156">
        <v>850</v>
      </c>
      <c r="N156" t="str">
        <f>"596.04"</f>
        <v>596.04</v>
      </c>
      <c r="P156">
        <v>20</v>
      </c>
      <c r="Q156">
        <v>17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1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1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1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1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1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2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1</v>
      </c>
      <c r="LX156">
        <v>0</v>
      </c>
      <c r="LY156">
        <v>0</v>
      </c>
      <c r="LZ156">
        <v>2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1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1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1</v>
      </c>
      <c r="OC156">
        <v>0</v>
      </c>
      <c r="OD156">
        <v>0</v>
      </c>
      <c r="OE156">
        <v>0</v>
      </c>
      <c r="OF156">
        <v>0</v>
      </c>
      <c r="OG156">
        <v>1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1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1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1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1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2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  <c r="QJ156">
        <v>0</v>
      </c>
      <c r="QK156">
        <v>0</v>
      </c>
      <c r="QL156">
        <v>0</v>
      </c>
      <c r="QM156">
        <v>0</v>
      </c>
      <c r="QN156">
        <v>0</v>
      </c>
      <c r="QO156">
        <v>0</v>
      </c>
      <c r="QP156">
        <v>0</v>
      </c>
      <c r="QQ156">
        <v>0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0</v>
      </c>
      <c r="QY156">
        <v>0</v>
      </c>
    </row>
    <row r="157" spans="2:467" hidden="1" x14ac:dyDescent="0.4">
      <c r="B157" t="str">
        <f>"9784582860191"</f>
        <v>9784582860191</v>
      </c>
      <c r="C157" t="s">
        <v>1035</v>
      </c>
      <c r="D157" t="s">
        <v>1036</v>
      </c>
      <c r="E157">
        <v>1019</v>
      </c>
      <c r="G157" t="s">
        <v>669</v>
      </c>
      <c r="H157" t="str">
        <f>"0234"</f>
        <v>0234</v>
      </c>
      <c r="I157" t="s">
        <v>481</v>
      </c>
      <c r="J157" t="s">
        <v>482</v>
      </c>
      <c r="K157" t="s">
        <v>957</v>
      </c>
      <c r="L157" s="1">
        <v>44914</v>
      </c>
      <c r="M157">
        <v>920</v>
      </c>
      <c r="N157" t="str">
        <f>"335.4"</f>
        <v>335.4</v>
      </c>
      <c r="P157">
        <v>19</v>
      </c>
      <c r="Q157">
        <v>17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2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1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1</v>
      </c>
      <c r="FE157">
        <v>0</v>
      </c>
      <c r="FF157">
        <v>0</v>
      </c>
      <c r="FG157">
        <v>0</v>
      </c>
      <c r="FH157">
        <v>1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1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1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1</v>
      </c>
      <c r="KR157">
        <v>1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1</v>
      </c>
      <c r="LQ157">
        <v>0</v>
      </c>
      <c r="LR157">
        <v>0</v>
      </c>
      <c r="LS157">
        <v>2</v>
      </c>
      <c r="LT157">
        <v>0</v>
      </c>
      <c r="LU157">
        <v>0</v>
      </c>
      <c r="LV157">
        <v>1</v>
      </c>
      <c r="LW157">
        <v>1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1</v>
      </c>
      <c r="MM157">
        <v>0</v>
      </c>
      <c r="MN157">
        <v>1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1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1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1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  <c r="QJ157">
        <v>0</v>
      </c>
      <c r="QK157">
        <v>0</v>
      </c>
      <c r="QL157">
        <v>0</v>
      </c>
      <c r="QM157">
        <v>0</v>
      </c>
      <c r="QN157">
        <v>0</v>
      </c>
      <c r="QO157">
        <v>0</v>
      </c>
      <c r="QP157">
        <v>0</v>
      </c>
      <c r="QQ157">
        <v>0</v>
      </c>
      <c r="QR157">
        <v>0</v>
      </c>
      <c r="QS157">
        <v>0</v>
      </c>
      <c r="QT157">
        <v>0</v>
      </c>
      <c r="QU157">
        <v>0</v>
      </c>
      <c r="QV157">
        <v>0</v>
      </c>
      <c r="QW157">
        <v>0</v>
      </c>
      <c r="QX157">
        <v>0</v>
      </c>
      <c r="QY157">
        <v>0</v>
      </c>
    </row>
    <row r="158" spans="2:467" hidden="1" x14ac:dyDescent="0.4">
      <c r="B158" t="str">
        <f>"9784480684127"</f>
        <v>9784480684127</v>
      </c>
      <c r="C158" t="s">
        <v>1037</v>
      </c>
      <c r="D158" t="s">
        <v>1038</v>
      </c>
      <c r="E158">
        <v>386</v>
      </c>
      <c r="G158" t="s">
        <v>501</v>
      </c>
      <c r="H158" t="str">
        <f>"0236"</f>
        <v>0236</v>
      </c>
      <c r="I158" t="s">
        <v>481</v>
      </c>
      <c r="J158" t="s">
        <v>482</v>
      </c>
      <c r="K158" t="s">
        <v>505</v>
      </c>
      <c r="L158" s="1">
        <v>44476</v>
      </c>
      <c r="M158">
        <v>920</v>
      </c>
      <c r="N158" t="str">
        <f>"302.1"</f>
        <v>302.1</v>
      </c>
      <c r="P158">
        <v>19</v>
      </c>
      <c r="Q158">
        <v>17</v>
      </c>
      <c r="R158">
        <v>0</v>
      </c>
      <c r="S158">
        <v>0</v>
      </c>
      <c r="T158">
        <v>0</v>
      </c>
      <c r="U158">
        <v>2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1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2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1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1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1</v>
      </c>
      <c r="IC158">
        <v>0</v>
      </c>
      <c r="ID158">
        <v>0</v>
      </c>
      <c r="IE158">
        <v>0</v>
      </c>
      <c r="IF158">
        <v>1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1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1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1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1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1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1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1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1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1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  <c r="QJ158">
        <v>0</v>
      </c>
      <c r="QK158">
        <v>0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0</v>
      </c>
      <c r="QS158">
        <v>0</v>
      </c>
      <c r="QT158">
        <v>0</v>
      </c>
      <c r="QU158">
        <v>0</v>
      </c>
      <c r="QV158">
        <v>0</v>
      </c>
      <c r="QW158">
        <v>0</v>
      </c>
      <c r="QX158">
        <v>0</v>
      </c>
      <c r="QY158">
        <v>0</v>
      </c>
    </row>
    <row r="159" spans="2:467" hidden="1" x14ac:dyDescent="0.4">
      <c r="B159" t="str">
        <f>"9784480075260"</f>
        <v>9784480075260</v>
      </c>
      <c r="C159" t="s">
        <v>1041</v>
      </c>
      <c r="D159" t="s">
        <v>1042</v>
      </c>
      <c r="E159">
        <v>1700</v>
      </c>
      <c r="G159" t="s">
        <v>501</v>
      </c>
      <c r="H159" t="str">
        <f>"0210"</f>
        <v>0210</v>
      </c>
      <c r="I159" t="s">
        <v>481</v>
      </c>
      <c r="J159" t="s">
        <v>482</v>
      </c>
      <c r="K159" t="s">
        <v>483</v>
      </c>
      <c r="L159" s="1">
        <v>44903</v>
      </c>
      <c r="M159">
        <v>980</v>
      </c>
      <c r="N159" t="str">
        <f>"104"</f>
        <v>104</v>
      </c>
      <c r="P159">
        <v>19</v>
      </c>
      <c r="Q159">
        <v>17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1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1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1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1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1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1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1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1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2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1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1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1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1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1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2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  <c r="QJ159">
        <v>0</v>
      </c>
      <c r="QK159">
        <v>0</v>
      </c>
      <c r="QL159">
        <v>0</v>
      </c>
      <c r="QM159">
        <v>0</v>
      </c>
      <c r="QN159">
        <v>0</v>
      </c>
      <c r="QO159">
        <v>0</v>
      </c>
      <c r="QP159">
        <v>0</v>
      </c>
      <c r="QQ159">
        <v>0</v>
      </c>
      <c r="QR159">
        <v>0</v>
      </c>
      <c r="QS159">
        <v>0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</row>
    <row r="160" spans="2:467" hidden="1" x14ac:dyDescent="0.4">
      <c r="B160" t="str">
        <f>"9784087212464"</f>
        <v>9784087212464</v>
      </c>
      <c r="C160" t="s">
        <v>1050</v>
      </c>
      <c r="D160" t="s">
        <v>1051</v>
      </c>
      <c r="E160" t="s">
        <v>1052</v>
      </c>
      <c r="G160" t="s">
        <v>536</v>
      </c>
      <c r="H160" t="str">
        <f>"0232"</f>
        <v>0232</v>
      </c>
      <c r="I160" t="s">
        <v>481</v>
      </c>
      <c r="J160" t="s">
        <v>482</v>
      </c>
      <c r="K160" t="s">
        <v>1053</v>
      </c>
      <c r="L160" s="1">
        <v>44911</v>
      </c>
      <c r="M160">
        <v>1000</v>
      </c>
      <c r="N160" t="str">
        <f>"329.21"</f>
        <v>329.21</v>
      </c>
      <c r="P160">
        <v>19</v>
      </c>
      <c r="Q160">
        <v>17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1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2</v>
      </c>
      <c r="CI160">
        <v>1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1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1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1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1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1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1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1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1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1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2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1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1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0</v>
      </c>
      <c r="QN160">
        <v>0</v>
      </c>
      <c r="QO160">
        <v>1</v>
      </c>
      <c r="QP160">
        <v>0</v>
      </c>
      <c r="QQ160">
        <v>0</v>
      </c>
      <c r="QR160">
        <v>0</v>
      </c>
      <c r="QS160">
        <v>0</v>
      </c>
      <c r="QT160">
        <v>0</v>
      </c>
      <c r="QU160">
        <v>0</v>
      </c>
      <c r="QV160">
        <v>0</v>
      </c>
      <c r="QW160">
        <v>0</v>
      </c>
      <c r="QX160">
        <v>0</v>
      </c>
      <c r="QY160">
        <v>0</v>
      </c>
    </row>
    <row r="161" spans="2:467" x14ac:dyDescent="0.4">
      <c r="B161" t="str">
        <f>"9784479302834"</f>
        <v>9784479302834</v>
      </c>
      <c r="C161" t="s">
        <v>1058</v>
      </c>
      <c r="D161" t="s">
        <v>1059</v>
      </c>
      <c r="E161" t="s">
        <v>1060</v>
      </c>
      <c r="G161" t="s">
        <v>1061</v>
      </c>
      <c r="H161" t="str">
        <f>"0195"</f>
        <v>0195</v>
      </c>
      <c r="I161" t="s">
        <v>481</v>
      </c>
      <c r="J161" t="s">
        <v>487</v>
      </c>
      <c r="K161" t="s">
        <v>509</v>
      </c>
      <c r="L161" s="1">
        <v>40276</v>
      </c>
      <c r="M161">
        <v>700</v>
      </c>
      <c r="N161" t="str">
        <f>"159.7"</f>
        <v>159.7</v>
      </c>
      <c r="P161">
        <v>19</v>
      </c>
      <c r="Q161">
        <v>17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3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1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1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1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1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1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1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1</v>
      </c>
      <c r="HW161">
        <v>0</v>
      </c>
      <c r="HX161">
        <v>0</v>
      </c>
      <c r="HY161">
        <v>1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1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1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1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1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1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1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1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1</v>
      </c>
      <c r="QY161">
        <v>0</v>
      </c>
    </row>
    <row r="162" spans="2:467" x14ac:dyDescent="0.4">
      <c r="B162" t="str">
        <f>"9784087442564"</f>
        <v>9784087442564</v>
      </c>
      <c r="C162" t="s">
        <v>1062</v>
      </c>
      <c r="D162" t="s">
        <v>1063</v>
      </c>
      <c r="E162" t="s">
        <v>1064</v>
      </c>
      <c r="G162" t="s">
        <v>536</v>
      </c>
      <c r="H162" t="str">
        <f>"0193"</f>
        <v>0193</v>
      </c>
      <c r="I162" t="s">
        <v>481</v>
      </c>
      <c r="J162" t="s">
        <v>487</v>
      </c>
      <c r="K162" t="s">
        <v>488</v>
      </c>
      <c r="L162" s="1">
        <v>44364</v>
      </c>
      <c r="M162">
        <v>720</v>
      </c>
      <c r="N162" t="str">
        <f>"913.6"</f>
        <v>913.6</v>
      </c>
      <c r="P162">
        <v>19</v>
      </c>
      <c r="Q162">
        <v>17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1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1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1</v>
      </c>
      <c r="DX162">
        <v>0</v>
      </c>
      <c r="DY162">
        <v>1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1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3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1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1</v>
      </c>
      <c r="JN162">
        <v>0</v>
      </c>
      <c r="JO162">
        <v>0</v>
      </c>
      <c r="JP162">
        <v>0</v>
      </c>
      <c r="JQ162">
        <v>1</v>
      </c>
      <c r="JR162">
        <v>1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1</v>
      </c>
      <c r="OC162">
        <v>0</v>
      </c>
      <c r="OD162">
        <v>0</v>
      </c>
      <c r="OE162">
        <v>0</v>
      </c>
      <c r="OF162">
        <v>0</v>
      </c>
      <c r="OG162">
        <v>1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1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</v>
      </c>
      <c r="QK162">
        <v>1</v>
      </c>
      <c r="QL162">
        <v>0</v>
      </c>
      <c r="QM162">
        <v>0</v>
      </c>
      <c r="QN162">
        <v>0</v>
      </c>
      <c r="QO162">
        <v>0</v>
      </c>
      <c r="QP162">
        <v>0</v>
      </c>
      <c r="QQ162">
        <v>0</v>
      </c>
      <c r="QR162">
        <v>0</v>
      </c>
      <c r="QS162">
        <v>0</v>
      </c>
      <c r="QT162">
        <v>0</v>
      </c>
      <c r="QU162">
        <v>0</v>
      </c>
      <c r="QV162">
        <v>0</v>
      </c>
      <c r="QW162">
        <v>0</v>
      </c>
      <c r="QX162">
        <v>0</v>
      </c>
      <c r="QY162">
        <v>0</v>
      </c>
    </row>
    <row r="163" spans="2:467" x14ac:dyDescent="0.4">
      <c r="B163" t="str">
        <f>"9784102114018"</f>
        <v>9784102114018</v>
      </c>
      <c r="C163" t="s">
        <v>1095</v>
      </c>
      <c r="D163" t="s">
        <v>1096</v>
      </c>
      <c r="E163" t="s">
        <v>1097</v>
      </c>
      <c r="G163" t="s">
        <v>516</v>
      </c>
      <c r="H163" t="str">
        <f>"0197"</f>
        <v>0197</v>
      </c>
      <c r="I163" t="s">
        <v>481</v>
      </c>
      <c r="J163" t="s">
        <v>487</v>
      </c>
      <c r="K163" t="s">
        <v>564</v>
      </c>
      <c r="L163" s="1">
        <v>35186</v>
      </c>
      <c r="M163">
        <v>550</v>
      </c>
      <c r="N163" t="str">
        <f>"953"</f>
        <v>953</v>
      </c>
      <c r="P163">
        <v>18</v>
      </c>
      <c r="Q163">
        <v>17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1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1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2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1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1</v>
      </c>
      <c r="JO163">
        <v>0</v>
      </c>
      <c r="JP163">
        <v>0</v>
      </c>
      <c r="JQ163">
        <v>1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1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1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1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1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1</v>
      </c>
      <c r="PL163">
        <v>0</v>
      </c>
      <c r="PM163">
        <v>1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1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1</v>
      </c>
      <c r="QY163">
        <v>0</v>
      </c>
    </row>
    <row r="164" spans="2:467" x14ac:dyDescent="0.4">
      <c r="B164" t="str">
        <f>"9784006000523"</f>
        <v>9784006000523</v>
      </c>
      <c r="C164" t="s">
        <v>1098</v>
      </c>
      <c r="D164" t="s">
        <v>1099</v>
      </c>
      <c r="E164" t="s">
        <v>1100</v>
      </c>
      <c r="G164" t="s">
        <v>521</v>
      </c>
      <c r="H164" t="str">
        <f>"0147"</f>
        <v>0147</v>
      </c>
      <c r="I164" t="s">
        <v>481</v>
      </c>
      <c r="J164" t="s">
        <v>487</v>
      </c>
      <c r="K164" t="s">
        <v>670</v>
      </c>
      <c r="L164" s="1">
        <v>37012</v>
      </c>
      <c r="M164">
        <v>1160</v>
      </c>
      <c r="N164" t="str">
        <f>"493.7"</f>
        <v>493.7</v>
      </c>
      <c r="P164">
        <v>18</v>
      </c>
      <c r="Q164">
        <v>17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1</v>
      </c>
      <c r="CI164">
        <v>2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1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1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1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1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1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1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1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1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1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1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1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1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1</v>
      </c>
      <c r="QY164">
        <v>0</v>
      </c>
    </row>
    <row r="165" spans="2:467" hidden="1" x14ac:dyDescent="0.4">
      <c r="B165" t="str">
        <f>"9784065302743"</f>
        <v>9784065302743</v>
      </c>
      <c r="C165" t="s">
        <v>1118</v>
      </c>
      <c r="D165" t="s">
        <v>1119</v>
      </c>
      <c r="E165">
        <v>2683</v>
      </c>
      <c r="G165" t="s">
        <v>548</v>
      </c>
      <c r="H165" t="str">
        <f>"0295"</f>
        <v>0295</v>
      </c>
      <c r="I165" t="s">
        <v>481</v>
      </c>
      <c r="J165" t="s">
        <v>482</v>
      </c>
      <c r="K165" t="s">
        <v>509</v>
      </c>
      <c r="L165" s="1">
        <v>44881</v>
      </c>
      <c r="M165">
        <v>840</v>
      </c>
      <c r="N165" t="str">
        <f>"914.6"</f>
        <v>914.6</v>
      </c>
      <c r="P165">
        <v>18</v>
      </c>
      <c r="Q165">
        <v>17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1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1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1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1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1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1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1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1</v>
      </c>
      <c r="JN165">
        <v>0</v>
      </c>
      <c r="JO165">
        <v>0</v>
      </c>
      <c r="JP165">
        <v>0</v>
      </c>
      <c r="JQ165">
        <v>2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1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1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1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1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1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1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1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</v>
      </c>
      <c r="QR165">
        <v>0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</row>
    <row r="166" spans="2:467" hidden="1" x14ac:dyDescent="0.4">
      <c r="B166" t="str">
        <f>"9784569853437"</f>
        <v>9784569853437</v>
      </c>
      <c r="C166" t="s">
        <v>715</v>
      </c>
      <c r="D166" t="s">
        <v>716</v>
      </c>
      <c r="E166">
        <v>1331</v>
      </c>
      <c r="G166" t="s">
        <v>717</v>
      </c>
      <c r="H166" t="str">
        <f>"0236"</f>
        <v>0236</v>
      </c>
      <c r="I166" t="s">
        <v>481</v>
      </c>
      <c r="J166" t="s">
        <v>482</v>
      </c>
      <c r="K166" t="s">
        <v>505</v>
      </c>
      <c r="L166" s="1">
        <v>44882</v>
      </c>
      <c r="M166">
        <v>990</v>
      </c>
      <c r="N166" t="str">
        <f>"361.4"</f>
        <v>361.4</v>
      </c>
      <c r="P166">
        <v>40</v>
      </c>
      <c r="Q166">
        <v>16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1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1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1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1</v>
      </c>
      <c r="GJ166">
        <v>0</v>
      </c>
      <c r="GK166">
        <v>0</v>
      </c>
      <c r="GL166">
        <v>0</v>
      </c>
      <c r="GM166">
        <v>0</v>
      </c>
      <c r="GN166">
        <v>1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1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1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1</v>
      </c>
      <c r="IG166">
        <v>0</v>
      </c>
      <c r="IH166">
        <v>0</v>
      </c>
      <c r="II166">
        <v>0</v>
      </c>
      <c r="IJ166">
        <v>0</v>
      </c>
      <c r="IK166">
        <v>1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1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25</v>
      </c>
      <c r="JN166">
        <v>1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1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1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1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0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</row>
    <row r="167" spans="2:467" x14ac:dyDescent="0.4">
      <c r="B167" t="str">
        <f>"9784065303849"</f>
        <v>9784065303849</v>
      </c>
      <c r="C167" t="s">
        <v>913</v>
      </c>
      <c r="D167" t="s">
        <v>914</v>
      </c>
      <c r="E167">
        <v>2756</v>
      </c>
      <c r="G167" t="s">
        <v>548</v>
      </c>
      <c r="H167" t="str">
        <f>"0139"</f>
        <v>0139</v>
      </c>
      <c r="I167" t="s">
        <v>481</v>
      </c>
      <c r="J167" t="s">
        <v>487</v>
      </c>
      <c r="K167" t="s">
        <v>724</v>
      </c>
      <c r="L167" s="1">
        <v>44938</v>
      </c>
      <c r="M167">
        <v>880</v>
      </c>
      <c r="N167" t="str">
        <f>"383"</f>
        <v>383</v>
      </c>
      <c r="P167">
        <v>24</v>
      </c>
      <c r="Q167">
        <v>16</v>
      </c>
      <c r="R167">
        <v>0</v>
      </c>
      <c r="S167">
        <v>0</v>
      </c>
      <c r="T167">
        <v>1</v>
      </c>
      <c r="U167">
        <v>2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5</v>
      </c>
      <c r="CR167">
        <v>0</v>
      </c>
      <c r="CS167">
        <v>1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1</v>
      </c>
      <c r="DC167">
        <v>2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1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3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1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1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1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1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1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1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0</v>
      </c>
      <c r="QU167">
        <v>0</v>
      </c>
      <c r="QV167">
        <v>0</v>
      </c>
      <c r="QW167">
        <v>0</v>
      </c>
      <c r="QX167">
        <v>0</v>
      </c>
      <c r="QY167">
        <v>0</v>
      </c>
    </row>
    <row r="168" spans="2:467" x14ac:dyDescent="0.4">
      <c r="B168" t="str">
        <f>"9784569902562"</f>
        <v>9784569902562</v>
      </c>
      <c r="C168" t="s">
        <v>994</v>
      </c>
      <c r="D168" t="s">
        <v>880</v>
      </c>
      <c r="E168" t="s">
        <v>995</v>
      </c>
      <c r="G168" t="s">
        <v>717</v>
      </c>
      <c r="H168" t="str">
        <f>"0193"</f>
        <v>0193</v>
      </c>
      <c r="I168" t="s">
        <v>481</v>
      </c>
      <c r="J168" t="s">
        <v>487</v>
      </c>
      <c r="K168" t="s">
        <v>488</v>
      </c>
      <c r="L168" s="1">
        <v>44890</v>
      </c>
      <c r="M168">
        <v>880</v>
      </c>
      <c r="N168" t="str">
        <f>"913.6"</f>
        <v>913.6</v>
      </c>
      <c r="P168">
        <v>20</v>
      </c>
      <c r="Q168">
        <v>16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1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2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1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2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1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1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1</v>
      </c>
      <c r="HQ168">
        <v>0</v>
      </c>
      <c r="HR168">
        <v>0</v>
      </c>
      <c r="HS168">
        <v>0</v>
      </c>
      <c r="HT168">
        <v>0</v>
      </c>
      <c r="HU168">
        <v>1</v>
      </c>
      <c r="HV168">
        <v>1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1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1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2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1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2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1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</row>
    <row r="169" spans="2:467" x14ac:dyDescent="0.4">
      <c r="B169" t="str">
        <f>"9784062758574"</f>
        <v>9784062758574</v>
      </c>
      <c r="C169" t="s">
        <v>996</v>
      </c>
      <c r="D169" t="s">
        <v>997</v>
      </c>
      <c r="E169" t="s">
        <v>998</v>
      </c>
      <c r="G169" t="s">
        <v>548</v>
      </c>
      <c r="H169" t="str">
        <f>"0193"</f>
        <v>0193</v>
      </c>
      <c r="I169" t="s">
        <v>481</v>
      </c>
      <c r="J169" t="s">
        <v>487</v>
      </c>
      <c r="K169" t="s">
        <v>488</v>
      </c>
      <c r="L169" s="1">
        <v>39356</v>
      </c>
      <c r="M169">
        <v>860</v>
      </c>
      <c r="N169" t="str">
        <f>"913.6"</f>
        <v>913.6</v>
      </c>
      <c r="P169">
        <v>20</v>
      </c>
      <c r="Q169">
        <v>16</v>
      </c>
      <c r="R169">
        <v>0</v>
      </c>
      <c r="S169">
        <v>0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1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2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1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1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2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1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2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2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1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1</v>
      </c>
      <c r="PL169">
        <v>0</v>
      </c>
      <c r="PM169">
        <v>1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1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  <c r="QJ169">
        <v>0</v>
      </c>
      <c r="QK169">
        <v>1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0</v>
      </c>
      <c r="QS169">
        <v>0</v>
      </c>
      <c r="QT169">
        <v>0</v>
      </c>
      <c r="QU169">
        <v>0</v>
      </c>
      <c r="QV169">
        <v>0</v>
      </c>
      <c r="QW169">
        <v>0</v>
      </c>
      <c r="QX169">
        <v>1</v>
      </c>
      <c r="QY169">
        <v>0</v>
      </c>
    </row>
    <row r="170" spans="2:467" x14ac:dyDescent="0.4">
      <c r="B170" t="str">
        <f>"9784480511652"</f>
        <v>9784480511652</v>
      </c>
      <c r="C170" t="s">
        <v>1007</v>
      </c>
      <c r="D170" t="s">
        <v>1008</v>
      </c>
      <c r="E170" t="s">
        <v>1009</v>
      </c>
      <c r="G170" t="s">
        <v>501</v>
      </c>
      <c r="H170" t="str">
        <f>"0172"</f>
        <v>0172</v>
      </c>
      <c r="I170" t="s">
        <v>481</v>
      </c>
      <c r="J170" t="s">
        <v>487</v>
      </c>
      <c r="K170" t="s">
        <v>1010</v>
      </c>
      <c r="L170" s="1">
        <v>44937</v>
      </c>
      <c r="M170">
        <v>1300</v>
      </c>
      <c r="N170" t="str">
        <f>"750.221"</f>
        <v>750.221</v>
      </c>
      <c r="P170">
        <v>20</v>
      </c>
      <c r="Q170">
        <v>16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1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2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2</v>
      </c>
      <c r="CR170">
        <v>0</v>
      </c>
      <c r="CS170">
        <v>1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1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1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1</v>
      </c>
      <c r="GJ170">
        <v>0</v>
      </c>
      <c r="GK170">
        <v>0</v>
      </c>
      <c r="GL170">
        <v>1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1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1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2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1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0</v>
      </c>
      <c r="QL170">
        <v>0</v>
      </c>
      <c r="QM170">
        <v>0</v>
      </c>
      <c r="QN170">
        <v>0</v>
      </c>
      <c r="QO170">
        <v>1</v>
      </c>
      <c r="QP170">
        <v>0</v>
      </c>
      <c r="QQ170">
        <v>0</v>
      </c>
      <c r="QR170">
        <v>0</v>
      </c>
      <c r="QS170">
        <v>0</v>
      </c>
      <c r="QT170">
        <v>1</v>
      </c>
      <c r="QU170">
        <v>0</v>
      </c>
      <c r="QV170">
        <v>0</v>
      </c>
      <c r="QW170">
        <v>0</v>
      </c>
      <c r="QX170">
        <v>0</v>
      </c>
      <c r="QY170">
        <v>0</v>
      </c>
    </row>
    <row r="171" spans="2:467" x14ac:dyDescent="0.4">
      <c r="B171" t="str">
        <f>"9784101050454"</f>
        <v>9784101050454</v>
      </c>
      <c r="C171" t="s">
        <v>1019</v>
      </c>
      <c r="D171" t="s">
        <v>1020</v>
      </c>
      <c r="E171" t="s">
        <v>1021</v>
      </c>
      <c r="G171" t="s">
        <v>516</v>
      </c>
      <c r="H171" t="str">
        <f>"0193"</f>
        <v>0193</v>
      </c>
      <c r="I171" t="s">
        <v>481</v>
      </c>
      <c r="J171" t="s">
        <v>487</v>
      </c>
      <c r="K171" t="s">
        <v>488</v>
      </c>
      <c r="L171" s="1">
        <v>44132</v>
      </c>
      <c r="M171">
        <v>670</v>
      </c>
      <c r="N171" t="str">
        <f>"913.6"</f>
        <v>913.6</v>
      </c>
      <c r="P171">
        <v>19</v>
      </c>
      <c r="Q171">
        <v>16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1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1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2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1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1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1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1</v>
      </c>
      <c r="FW171">
        <v>0</v>
      </c>
      <c r="FX171">
        <v>0</v>
      </c>
      <c r="FY171">
        <v>1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1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2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1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1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1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1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1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  <c r="QJ171">
        <v>0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</row>
    <row r="172" spans="2:467" x14ac:dyDescent="0.4">
      <c r="B172" t="str">
        <f>"9784480438607"</f>
        <v>9784480438607</v>
      </c>
      <c r="C172" t="s">
        <v>1030</v>
      </c>
      <c r="D172" t="s">
        <v>1031</v>
      </c>
      <c r="E172" t="s">
        <v>1032</v>
      </c>
      <c r="G172" t="s">
        <v>501</v>
      </c>
      <c r="H172" t="str">
        <f>"0193"</f>
        <v>0193</v>
      </c>
      <c r="I172" t="s">
        <v>481</v>
      </c>
      <c r="J172" t="s">
        <v>487</v>
      </c>
      <c r="K172" t="s">
        <v>488</v>
      </c>
      <c r="L172" s="1">
        <v>44937</v>
      </c>
      <c r="M172">
        <v>1000</v>
      </c>
      <c r="N172" t="str">
        <f>"913.6"</f>
        <v>913.6</v>
      </c>
      <c r="P172">
        <v>19</v>
      </c>
      <c r="Q172">
        <v>16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1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4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1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1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1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1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1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1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1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1</v>
      </c>
      <c r="NZ172">
        <v>0</v>
      </c>
      <c r="OA172">
        <v>0</v>
      </c>
      <c r="OB172">
        <v>1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1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1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</row>
    <row r="173" spans="2:467" x14ac:dyDescent="0.4">
      <c r="B173" t="str">
        <f>"9784101388830"</f>
        <v>9784101388830</v>
      </c>
      <c r="C173" t="s">
        <v>1039</v>
      </c>
      <c r="D173" t="s">
        <v>496</v>
      </c>
      <c r="E173" t="s">
        <v>1040</v>
      </c>
      <c r="G173" t="s">
        <v>516</v>
      </c>
      <c r="H173" t="str">
        <f>"0193"</f>
        <v>0193</v>
      </c>
      <c r="I173" t="s">
        <v>481</v>
      </c>
      <c r="J173" t="s">
        <v>487</v>
      </c>
      <c r="K173" t="s">
        <v>488</v>
      </c>
      <c r="L173" s="1">
        <v>44739</v>
      </c>
      <c r="M173">
        <v>710</v>
      </c>
      <c r="N173" t="str">
        <f>"913.6"</f>
        <v>913.6</v>
      </c>
      <c r="P173">
        <v>19</v>
      </c>
      <c r="Q173">
        <v>16</v>
      </c>
      <c r="R173">
        <v>0</v>
      </c>
      <c r="S173">
        <v>0</v>
      </c>
      <c r="T173">
        <v>1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1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1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3</v>
      </c>
      <c r="CI173">
        <v>1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1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2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1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1</v>
      </c>
      <c r="JS173">
        <v>0</v>
      </c>
      <c r="JT173">
        <v>0</v>
      </c>
      <c r="JU173">
        <v>0</v>
      </c>
      <c r="JV173">
        <v>0</v>
      </c>
      <c r="JW173">
        <v>1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1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1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1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</v>
      </c>
      <c r="QQ173">
        <v>1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1</v>
      </c>
      <c r="QY173">
        <v>0</v>
      </c>
    </row>
    <row r="174" spans="2:467" x14ac:dyDescent="0.4">
      <c r="B174" t="str">
        <f>"9784101121154"</f>
        <v>9784101121154</v>
      </c>
      <c r="C174" t="s">
        <v>1043</v>
      </c>
      <c r="D174" t="s">
        <v>1044</v>
      </c>
      <c r="E174" t="s">
        <v>1045</v>
      </c>
      <c r="G174" t="s">
        <v>516</v>
      </c>
      <c r="H174" t="str">
        <f>"0193"</f>
        <v>0193</v>
      </c>
      <c r="I174" t="s">
        <v>481</v>
      </c>
      <c r="J174" t="s">
        <v>487</v>
      </c>
      <c r="K174" t="s">
        <v>488</v>
      </c>
      <c r="L174" s="1">
        <v>37681</v>
      </c>
      <c r="M174">
        <v>630</v>
      </c>
      <c r="N174" t="str">
        <f>"913.6"</f>
        <v>913.6</v>
      </c>
      <c r="P174">
        <v>19</v>
      </c>
      <c r="Q174">
        <v>16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1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1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1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0</v>
      </c>
      <c r="BP174">
        <v>1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1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1</v>
      </c>
      <c r="CR174">
        <v>1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1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1</v>
      </c>
      <c r="HV174">
        <v>1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2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1</v>
      </c>
      <c r="JN174">
        <v>0</v>
      </c>
      <c r="JO174">
        <v>0</v>
      </c>
      <c r="JP174">
        <v>0</v>
      </c>
      <c r="JQ174">
        <v>1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1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3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  <c r="QJ174">
        <v>0</v>
      </c>
      <c r="QK174">
        <v>0</v>
      </c>
      <c r="QL174">
        <v>0</v>
      </c>
      <c r="QM174">
        <v>0</v>
      </c>
      <c r="QN174">
        <v>0</v>
      </c>
      <c r="QO174">
        <v>0</v>
      </c>
      <c r="QP174">
        <v>0</v>
      </c>
      <c r="QQ174">
        <v>0</v>
      </c>
      <c r="QR174">
        <v>0</v>
      </c>
      <c r="QS174">
        <v>0</v>
      </c>
      <c r="QT174">
        <v>0</v>
      </c>
      <c r="QU174">
        <v>0</v>
      </c>
      <c r="QV174">
        <v>0</v>
      </c>
      <c r="QW174">
        <v>0</v>
      </c>
      <c r="QX174">
        <v>0</v>
      </c>
      <c r="QY174">
        <v>0</v>
      </c>
    </row>
    <row r="175" spans="2:467" hidden="1" x14ac:dyDescent="0.4">
      <c r="B175" t="str">
        <f>"9784140886830"</f>
        <v>9784140886830</v>
      </c>
      <c r="C175" t="s">
        <v>1046</v>
      </c>
      <c r="D175" t="s">
        <v>1047</v>
      </c>
      <c r="E175">
        <v>683</v>
      </c>
      <c r="G175" t="s">
        <v>480</v>
      </c>
      <c r="H175" t="str">
        <f>"0245"</f>
        <v>0245</v>
      </c>
      <c r="I175" t="s">
        <v>481</v>
      </c>
      <c r="J175" t="s">
        <v>482</v>
      </c>
      <c r="K175" t="s">
        <v>593</v>
      </c>
      <c r="L175" s="1">
        <v>44845</v>
      </c>
      <c r="M175">
        <v>950</v>
      </c>
      <c r="N175" t="str">
        <f>"467.3"</f>
        <v>467.3</v>
      </c>
      <c r="P175">
        <v>19</v>
      </c>
      <c r="Q175">
        <v>16</v>
      </c>
      <c r="R175">
        <v>0</v>
      </c>
      <c r="S175">
        <v>0</v>
      </c>
      <c r="T175">
        <v>1</v>
      </c>
      <c r="U175">
        <v>1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1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1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1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1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1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1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2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1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2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1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1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2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1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0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</row>
    <row r="176" spans="2:467" x14ac:dyDescent="0.4">
      <c r="B176" t="str">
        <f>"9784167907082"</f>
        <v>9784167907082</v>
      </c>
      <c r="C176" t="s">
        <v>1070</v>
      </c>
      <c r="D176" t="s">
        <v>1071</v>
      </c>
      <c r="E176" t="s">
        <v>1072</v>
      </c>
      <c r="G176" t="s">
        <v>639</v>
      </c>
      <c r="H176" t="str">
        <f>"0193"</f>
        <v>0193</v>
      </c>
      <c r="I176" t="s">
        <v>481</v>
      </c>
      <c r="J176" t="s">
        <v>487</v>
      </c>
      <c r="K176" t="s">
        <v>488</v>
      </c>
      <c r="L176" s="1">
        <v>42650</v>
      </c>
      <c r="M176">
        <v>680</v>
      </c>
      <c r="N176" t="str">
        <f>"913.6"</f>
        <v>913.6</v>
      </c>
      <c r="P176">
        <v>18</v>
      </c>
      <c r="Q176">
        <v>16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1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1</v>
      </c>
      <c r="BN176">
        <v>0</v>
      </c>
      <c r="BO176">
        <v>0</v>
      </c>
      <c r="BP176">
        <v>1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1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1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1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1</v>
      </c>
      <c r="GJ176">
        <v>0</v>
      </c>
      <c r="GK176">
        <v>0</v>
      </c>
      <c r="GL176">
        <v>0</v>
      </c>
      <c r="GM176">
        <v>0</v>
      </c>
      <c r="GN176">
        <v>1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1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1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2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1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2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1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1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0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0</v>
      </c>
      <c r="QS176">
        <v>0</v>
      </c>
      <c r="QT176">
        <v>0</v>
      </c>
      <c r="QU176">
        <v>0</v>
      </c>
      <c r="QV176">
        <v>0</v>
      </c>
      <c r="QW176">
        <v>0</v>
      </c>
      <c r="QX176">
        <v>0</v>
      </c>
      <c r="QY176">
        <v>0</v>
      </c>
    </row>
    <row r="177" spans="2:467" x14ac:dyDescent="0.4">
      <c r="B177" t="str">
        <f>"9784167917456"</f>
        <v>9784167917456</v>
      </c>
      <c r="C177" t="s">
        <v>1076</v>
      </c>
      <c r="D177" t="s">
        <v>1077</v>
      </c>
      <c r="E177" t="s">
        <v>1078</v>
      </c>
      <c r="G177" t="s">
        <v>639</v>
      </c>
      <c r="H177" t="str">
        <f>"0193"</f>
        <v>0193</v>
      </c>
      <c r="I177" t="s">
        <v>481</v>
      </c>
      <c r="J177" t="s">
        <v>487</v>
      </c>
      <c r="K177" t="s">
        <v>488</v>
      </c>
      <c r="L177" s="1">
        <v>44441</v>
      </c>
      <c r="M177">
        <v>810</v>
      </c>
      <c r="N177" t="str">
        <f>"913.6"</f>
        <v>913.6</v>
      </c>
      <c r="P177">
        <v>18</v>
      </c>
      <c r="Q177">
        <v>16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1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1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1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1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3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1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1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1</v>
      </c>
      <c r="NF177">
        <v>0</v>
      </c>
      <c r="NG177">
        <v>0</v>
      </c>
      <c r="NH177">
        <v>0</v>
      </c>
      <c r="NI177">
        <v>1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1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1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1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1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  <c r="QJ177">
        <v>0</v>
      </c>
      <c r="QK177">
        <v>0</v>
      </c>
      <c r="QL177">
        <v>0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1</v>
      </c>
      <c r="QY177">
        <v>0</v>
      </c>
    </row>
    <row r="178" spans="2:467" x14ac:dyDescent="0.4">
      <c r="B178" t="str">
        <f>"9784480511522"</f>
        <v>9784480511522</v>
      </c>
      <c r="C178" t="s">
        <v>1079</v>
      </c>
      <c r="D178" t="s">
        <v>1080</v>
      </c>
      <c r="E178" t="s">
        <v>1081</v>
      </c>
      <c r="G178" t="s">
        <v>501</v>
      </c>
      <c r="H178" t="str">
        <f>"0139"</f>
        <v>0139</v>
      </c>
      <c r="I178" t="s">
        <v>481</v>
      </c>
      <c r="J178" t="s">
        <v>487</v>
      </c>
      <c r="K178" t="s">
        <v>724</v>
      </c>
      <c r="L178" s="1">
        <v>44879</v>
      </c>
      <c r="M178">
        <v>1200</v>
      </c>
      <c r="N178" t="str">
        <f>"490"</f>
        <v>490</v>
      </c>
      <c r="P178">
        <v>18</v>
      </c>
      <c r="Q178">
        <v>16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1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1</v>
      </c>
      <c r="BF178">
        <v>0</v>
      </c>
      <c r="BG178">
        <v>1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1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2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1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1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1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1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1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1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1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1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0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</row>
    <row r="179" spans="2:467" x14ac:dyDescent="0.4">
      <c r="B179" t="str">
        <f>"9784006032951"</f>
        <v>9784006032951</v>
      </c>
      <c r="C179" t="s">
        <v>1086</v>
      </c>
      <c r="D179" t="s">
        <v>1087</v>
      </c>
      <c r="E179" t="s">
        <v>1088</v>
      </c>
      <c r="G179" t="s">
        <v>521</v>
      </c>
      <c r="H179" t="str">
        <f>"0136"</f>
        <v>0136</v>
      </c>
      <c r="I179" t="s">
        <v>481</v>
      </c>
      <c r="J179" t="s">
        <v>487</v>
      </c>
      <c r="K179" t="s">
        <v>505</v>
      </c>
      <c r="L179" s="1">
        <v>42417</v>
      </c>
      <c r="M179">
        <v>1400</v>
      </c>
      <c r="N179" t="str">
        <f>"209.74"</f>
        <v>209.74</v>
      </c>
      <c r="P179">
        <v>18</v>
      </c>
      <c r="Q179">
        <v>16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1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1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1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1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1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1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1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1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1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1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3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1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1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1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1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  <c r="QJ179">
        <v>0</v>
      </c>
      <c r="QK179">
        <v>0</v>
      </c>
      <c r="QL179">
        <v>0</v>
      </c>
      <c r="QM179">
        <v>0</v>
      </c>
      <c r="QN179">
        <v>0</v>
      </c>
      <c r="QO179">
        <v>0</v>
      </c>
      <c r="QP179">
        <v>0</v>
      </c>
      <c r="QQ179">
        <v>0</v>
      </c>
      <c r="QR179">
        <v>0</v>
      </c>
      <c r="QS179">
        <v>0</v>
      </c>
      <c r="QT179">
        <v>0</v>
      </c>
      <c r="QU179">
        <v>0</v>
      </c>
      <c r="QV179">
        <v>0</v>
      </c>
      <c r="QW179">
        <v>0</v>
      </c>
      <c r="QX179">
        <v>0</v>
      </c>
      <c r="QY179">
        <v>0</v>
      </c>
    </row>
    <row r="180" spans="2:467" x14ac:dyDescent="0.4">
      <c r="B180" t="str">
        <f>"9784167917470"</f>
        <v>9784167917470</v>
      </c>
      <c r="C180" t="s">
        <v>1103</v>
      </c>
      <c r="D180" t="s">
        <v>1104</v>
      </c>
      <c r="E180" t="s">
        <v>1105</v>
      </c>
      <c r="G180" t="s">
        <v>639</v>
      </c>
      <c r="H180" t="str">
        <f>"0193"</f>
        <v>0193</v>
      </c>
      <c r="I180" t="s">
        <v>481</v>
      </c>
      <c r="J180" t="s">
        <v>487</v>
      </c>
      <c r="K180" t="s">
        <v>488</v>
      </c>
      <c r="L180" s="1">
        <v>44442</v>
      </c>
      <c r="M180">
        <v>820</v>
      </c>
      <c r="N180" t="str">
        <f>"913.6"</f>
        <v>913.6</v>
      </c>
      <c r="P180">
        <v>18</v>
      </c>
      <c r="Q180">
        <v>16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2</v>
      </c>
      <c r="CI180">
        <v>1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1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1</v>
      </c>
      <c r="HL180">
        <v>0</v>
      </c>
      <c r="HM180">
        <v>1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1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1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1</v>
      </c>
      <c r="JZ180">
        <v>2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1</v>
      </c>
      <c r="NE180">
        <v>1</v>
      </c>
      <c r="NF180">
        <v>0</v>
      </c>
      <c r="NG180">
        <v>0</v>
      </c>
      <c r="NH180">
        <v>0</v>
      </c>
      <c r="NI180">
        <v>1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1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1</v>
      </c>
      <c r="PH180">
        <v>0</v>
      </c>
      <c r="PI180">
        <v>0</v>
      </c>
      <c r="PJ180">
        <v>0</v>
      </c>
      <c r="PK180">
        <v>1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</v>
      </c>
      <c r="QK180">
        <v>1</v>
      </c>
      <c r="QL180">
        <v>0</v>
      </c>
      <c r="QM180">
        <v>0</v>
      </c>
      <c r="QN180">
        <v>0</v>
      </c>
      <c r="QO180">
        <v>0</v>
      </c>
      <c r="QP180">
        <v>0</v>
      </c>
      <c r="QQ180">
        <v>0</v>
      </c>
      <c r="QR180">
        <v>0</v>
      </c>
      <c r="QS180">
        <v>0</v>
      </c>
      <c r="QT180">
        <v>0</v>
      </c>
      <c r="QU180">
        <v>0</v>
      </c>
      <c r="QV180">
        <v>0</v>
      </c>
      <c r="QW180">
        <v>0</v>
      </c>
      <c r="QX180">
        <v>0</v>
      </c>
      <c r="QY180">
        <v>0</v>
      </c>
    </row>
    <row r="181" spans="2:467" x14ac:dyDescent="0.4">
      <c r="B181" t="str">
        <f>"9784006004545"</f>
        <v>9784006004545</v>
      </c>
      <c r="C181" t="s">
        <v>1120</v>
      </c>
      <c r="D181" t="s">
        <v>1121</v>
      </c>
      <c r="E181" t="s">
        <v>1122</v>
      </c>
      <c r="G181" t="s">
        <v>521</v>
      </c>
      <c r="H181" t="str">
        <f>"0110"</f>
        <v>0110</v>
      </c>
      <c r="I181" t="s">
        <v>481</v>
      </c>
      <c r="J181" t="s">
        <v>487</v>
      </c>
      <c r="K181" t="s">
        <v>483</v>
      </c>
      <c r="L181" s="1">
        <v>44849</v>
      </c>
      <c r="M181">
        <v>1620</v>
      </c>
      <c r="N181" t="str">
        <f>"321.1"</f>
        <v>321.1</v>
      </c>
      <c r="P181">
        <v>18</v>
      </c>
      <c r="Q181">
        <v>16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1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1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3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1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1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1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1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1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1</v>
      </c>
      <c r="JX181">
        <v>0</v>
      </c>
      <c r="JY181">
        <v>0</v>
      </c>
      <c r="JZ181">
        <v>0</v>
      </c>
      <c r="KA181">
        <v>0</v>
      </c>
      <c r="KB181">
        <v>1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1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1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1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1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1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1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</row>
    <row r="182" spans="2:467" x14ac:dyDescent="0.4">
      <c r="B182" t="str">
        <f>"9784831826442"</f>
        <v>9784831826442</v>
      </c>
      <c r="C182" t="s">
        <v>1123</v>
      </c>
      <c r="D182" t="s">
        <v>1124</v>
      </c>
      <c r="E182" t="s">
        <v>584</v>
      </c>
      <c r="G182" t="s">
        <v>1125</v>
      </c>
      <c r="H182" t="str">
        <f>"1122"</f>
        <v>1122</v>
      </c>
      <c r="I182" t="s">
        <v>541</v>
      </c>
      <c r="J182" t="s">
        <v>487</v>
      </c>
      <c r="K182" t="s">
        <v>579</v>
      </c>
      <c r="L182" s="1">
        <v>44942</v>
      </c>
      <c r="M182">
        <v>1200</v>
      </c>
      <c r="N182" t="str">
        <f>"182.22"</f>
        <v>182.22</v>
      </c>
      <c r="P182">
        <v>18</v>
      </c>
      <c r="Q182">
        <v>16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1</v>
      </c>
      <c r="CI182">
        <v>1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1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1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1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1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1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3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1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1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1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1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1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1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1</v>
      </c>
      <c r="QU182">
        <v>0</v>
      </c>
      <c r="QV182">
        <v>0</v>
      </c>
      <c r="QW182">
        <v>0</v>
      </c>
      <c r="QX182">
        <v>0</v>
      </c>
      <c r="QY182">
        <v>0</v>
      </c>
    </row>
    <row r="183" spans="2:467" x14ac:dyDescent="0.4">
      <c r="B183" t="str">
        <f>"9784041129869"</f>
        <v>9784041129869</v>
      </c>
      <c r="C183" t="s">
        <v>1146</v>
      </c>
      <c r="D183" t="s">
        <v>918</v>
      </c>
      <c r="E183" t="s">
        <v>1147</v>
      </c>
      <c r="G183" t="s">
        <v>597</v>
      </c>
      <c r="H183" t="str">
        <f>"0195"</f>
        <v>0195</v>
      </c>
      <c r="I183" t="s">
        <v>481</v>
      </c>
      <c r="J183" t="s">
        <v>487</v>
      </c>
      <c r="K183" t="s">
        <v>509</v>
      </c>
      <c r="L183" s="1">
        <v>44949</v>
      </c>
      <c r="M183">
        <v>600</v>
      </c>
      <c r="N183" t="str">
        <f>"764.7"</f>
        <v>764.7</v>
      </c>
      <c r="P183">
        <v>17</v>
      </c>
      <c r="Q183">
        <v>16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2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1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1</v>
      </c>
      <c r="DZ183">
        <v>0</v>
      </c>
      <c r="EA183">
        <v>0</v>
      </c>
      <c r="EB183">
        <v>0</v>
      </c>
      <c r="EC183">
        <v>1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1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1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1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1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1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1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1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1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1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1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1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0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</row>
    <row r="184" spans="2:467" hidden="1" x14ac:dyDescent="0.4">
      <c r="B184" t="str">
        <f>"9784121507792"</f>
        <v>9784121507792</v>
      </c>
      <c r="C184" t="s">
        <v>1202</v>
      </c>
      <c r="D184" t="s">
        <v>1203</v>
      </c>
      <c r="E184">
        <v>779</v>
      </c>
      <c r="G184" t="s">
        <v>540</v>
      </c>
      <c r="H184" t="str">
        <f>"1295"</f>
        <v>1295</v>
      </c>
      <c r="I184" t="s">
        <v>541</v>
      </c>
      <c r="J184" t="s">
        <v>482</v>
      </c>
      <c r="K184" t="s">
        <v>509</v>
      </c>
      <c r="L184" s="1">
        <v>44870</v>
      </c>
      <c r="M184">
        <v>900</v>
      </c>
      <c r="N184" t="str">
        <f>"210.04"</f>
        <v>210.04</v>
      </c>
      <c r="P184">
        <v>16</v>
      </c>
      <c r="Q184">
        <v>16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1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1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1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1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1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1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1</v>
      </c>
      <c r="HV184">
        <v>1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1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1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1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1</v>
      </c>
      <c r="NZ184">
        <v>0</v>
      </c>
      <c r="OA184">
        <v>0</v>
      </c>
      <c r="OB184">
        <v>1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1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1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0</v>
      </c>
      <c r="QQ184">
        <v>0</v>
      </c>
      <c r="QR184">
        <v>0</v>
      </c>
      <c r="QS184">
        <v>0</v>
      </c>
      <c r="QT184">
        <v>0</v>
      </c>
      <c r="QU184">
        <v>0</v>
      </c>
      <c r="QV184">
        <v>0</v>
      </c>
      <c r="QW184">
        <v>0</v>
      </c>
      <c r="QX184">
        <v>0</v>
      </c>
      <c r="QY184">
        <v>0</v>
      </c>
    </row>
    <row r="185" spans="2:467" hidden="1" x14ac:dyDescent="0.4">
      <c r="B185" t="str">
        <f>"9784569843339"</f>
        <v>9784569843339</v>
      </c>
      <c r="C185" t="s">
        <v>940</v>
      </c>
      <c r="D185" t="s">
        <v>941</v>
      </c>
      <c r="E185">
        <v>1330</v>
      </c>
      <c r="G185" t="s">
        <v>717</v>
      </c>
      <c r="H185" t="str">
        <f>"0230"</f>
        <v>0230</v>
      </c>
      <c r="I185" t="s">
        <v>481</v>
      </c>
      <c r="J185" t="s">
        <v>482</v>
      </c>
      <c r="K185" t="s">
        <v>600</v>
      </c>
      <c r="L185" s="1">
        <v>44861</v>
      </c>
      <c r="M185">
        <v>1000</v>
      </c>
      <c r="N185" t="str">
        <f>"019"</f>
        <v>019</v>
      </c>
      <c r="P185">
        <v>22</v>
      </c>
      <c r="Q185">
        <v>15</v>
      </c>
      <c r="R185">
        <v>0</v>
      </c>
      <c r="S185">
        <v>0</v>
      </c>
      <c r="T185">
        <v>1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1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2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1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1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1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2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3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1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2</v>
      </c>
      <c r="IP185">
        <v>0</v>
      </c>
      <c r="IQ185">
        <v>2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2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1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1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</v>
      </c>
      <c r="QQ185">
        <v>0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</row>
    <row r="186" spans="2:467" x14ac:dyDescent="0.4">
      <c r="B186" t="str">
        <f>"9784003403020"</f>
        <v>9784003403020</v>
      </c>
      <c r="C186" t="s">
        <v>946</v>
      </c>
      <c r="D186" t="s">
        <v>947</v>
      </c>
      <c r="E186" t="s">
        <v>948</v>
      </c>
      <c r="G186" t="s">
        <v>521</v>
      </c>
      <c r="H186" t="str">
        <f>"0131"</f>
        <v>0131</v>
      </c>
      <c r="I186" t="s">
        <v>481</v>
      </c>
      <c r="J186" t="s">
        <v>487</v>
      </c>
      <c r="K186" t="s">
        <v>502</v>
      </c>
      <c r="L186" s="1">
        <v>44785</v>
      </c>
      <c r="M186">
        <v>840</v>
      </c>
      <c r="N186" t="str">
        <f>"311.234"</f>
        <v>311.234</v>
      </c>
      <c r="P186">
        <v>22</v>
      </c>
      <c r="Q186">
        <v>15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1</v>
      </c>
      <c r="CI186">
        <v>2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1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1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1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1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1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1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2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5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2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1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1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1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1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0</v>
      </c>
      <c r="QY186">
        <v>0</v>
      </c>
    </row>
    <row r="187" spans="2:467" x14ac:dyDescent="0.4">
      <c r="B187" t="str">
        <f>"9784101171562"</f>
        <v>9784101171562</v>
      </c>
      <c r="C187" t="s">
        <v>1106</v>
      </c>
      <c r="D187" t="s">
        <v>1107</v>
      </c>
      <c r="E187" t="s">
        <v>1108</v>
      </c>
      <c r="G187" t="s">
        <v>516</v>
      </c>
      <c r="H187" t="str">
        <f>"0193"</f>
        <v>0193</v>
      </c>
      <c r="I187" t="s">
        <v>481</v>
      </c>
      <c r="J187" t="s">
        <v>487</v>
      </c>
      <c r="K187" t="s">
        <v>488</v>
      </c>
      <c r="L187" s="1">
        <v>44918</v>
      </c>
      <c r="M187">
        <v>590</v>
      </c>
      <c r="N187" t="str">
        <f>"913.6"</f>
        <v>913.6</v>
      </c>
      <c r="P187">
        <v>18</v>
      </c>
      <c r="Q187">
        <v>15</v>
      </c>
      <c r="R187">
        <v>0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1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1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3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1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1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1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1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1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2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1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1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1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1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1</v>
      </c>
      <c r="QH187">
        <v>0</v>
      </c>
      <c r="QI187">
        <v>0</v>
      </c>
      <c r="QJ187">
        <v>0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</row>
    <row r="188" spans="2:467" hidden="1" x14ac:dyDescent="0.4">
      <c r="B188" t="str">
        <f>"9784480684318"</f>
        <v>9784480684318</v>
      </c>
      <c r="C188" t="s">
        <v>1137</v>
      </c>
      <c r="D188" t="s">
        <v>1138</v>
      </c>
      <c r="E188">
        <v>403</v>
      </c>
      <c r="G188" t="s">
        <v>501</v>
      </c>
      <c r="H188" t="str">
        <f>"0200"</f>
        <v>0200</v>
      </c>
      <c r="I188" t="s">
        <v>481</v>
      </c>
      <c r="J188" t="s">
        <v>482</v>
      </c>
      <c r="K188" t="s">
        <v>549</v>
      </c>
      <c r="L188" s="1">
        <v>44721</v>
      </c>
      <c r="M188">
        <v>840</v>
      </c>
      <c r="N188" t="str">
        <f>"141.5"</f>
        <v>141.5</v>
      </c>
      <c r="P188">
        <v>17</v>
      </c>
      <c r="Q188">
        <v>15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1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1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1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1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1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1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1</v>
      </c>
      <c r="IM188">
        <v>0</v>
      </c>
      <c r="IN188">
        <v>2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1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1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1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1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2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</row>
    <row r="189" spans="2:467" hidden="1" x14ac:dyDescent="0.4">
      <c r="B189" t="str">
        <f>"9784022951977"</f>
        <v>9784022951977</v>
      </c>
      <c r="C189" t="s">
        <v>1139</v>
      </c>
      <c r="D189" t="s">
        <v>1140</v>
      </c>
      <c r="E189">
        <v>887</v>
      </c>
      <c r="G189" t="s">
        <v>498</v>
      </c>
      <c r="H189" t="str">
        <f>"0237"</f>
        <v>0237</v>
      </c>
      <c r="I189" t="s">
        <v>481</v>
      </c>
      <c r="J189" t="s">
        <v>482</v>
      </c>
      <c r="K189" t="s">
        <v>569</v>
      </c>
      <c r="L189" s="1">
        <v>44876</v>
      </c>
      <c r="M189">
        <v>850</v>
      </c>
      <c r="N189" t="str">
        <f>"376.4"</f>
        <v>376.4</v>
      </c>
      <c r="P189">
        <v>17</v>
      </c>
      <c r="Q189">
        <v>15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1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1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1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1</v>
      </c>
      <c r="EX189">
        <v>0</v>
      </c>
      <c r="EY189">
        <v>0</v>
      </c>
      <c r="EZ189">
        <v>0</v>
      </c>
      <c r="FA189">
        <v>0</v>
      </c>
      <c r="FB189">
        <v>1</v>
      </c>
      <c r="FC189">
        <v>0</v>
      </c>
      <c r="FD189">
        <v>1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2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1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1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1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1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1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2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1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1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</v>
      </c>
      <c r="QS189">
        <v>0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</row>
    <row r="190" spans="2:467" x14ac:dyDescent="0.4">
      <c r="B190" t="str">
        <f>"9784488803018"</f>
        <v>9784488803018</v>
      </c>
      <c r="C190" t="s">
        <v>1172</v>
      </c>
      <c r="D190" t="s">
        <v>1173</v>
      </c>
      <c r="E190" t="s">
        <v>1174</v>
      </c>
      <c r="G190" t="s">
        <v>1175</v>
      </c>
      <c r="H190" t="str">
        <f>"0193"</f>
        <v>0193</v>
      </c>
      <c r="I190" t="s">
        <v>481</v>
      </c>
      <c r="J190" t="s">
        <v>487</v>
      </c>
      <c r="K190" t="s">
        <v>488</v>
      </c>
      <c r="L190" s="1">
        <v>44617</v>
      </c>
      <c r="M190">
        <v>740</v>
      </c>
      <c r="N190" t="str">
        <f>"913.6"</f>
        <v>913.6</v>
      </c>
      <c r="P190">
        <v>16</v>
      </c>
      <c r="Q190">
        <v>15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1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1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1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1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1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1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1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2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1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1</v>
      </c>
      <c r="JN190">
        <v>0</v>
      </c>
      <c r="JO190">
        <v>0</v>
      </c>
      <c r="JP190">
        <v>1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1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1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  <c r="NK190">
        <v>0</v>
      </c>
      <c r="NL190">
        <v>0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1</v>
      </c>
      <c r="NZ190">
        <v>0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0</v>
      </c>
      <c r="PD190">
        <v>0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0</v>
      </c>
      <c r="PO190">
        <v>0</v>
      </c>
      <c r="PP190">
        <v>0</v>
      </c>
      <c r="PQ190">
        <v>0</v>
      </c>
      <c r="PR190">
        <v>0</v>
      </c>
      <c r="PS190">
        <v>0</v>
      </c>
      <c r="PT190">
        <v>0</v>
      </c>
      <c r="PU190">
        <v>0</v>
      </c>
      <c r="PV190">
        <v>0</v>
      </c>
      <c r="PW190">
        <v>0</v>
      </c>
      <c r="PX190">
        <v>0</v>
      </c>
      <c r="PY190">
        <v>0</v>
      </c>
      <c r="PZ190">
        <v>0</v>
      </c>
      <c r="QA190">
        <v>0</v>
      </c>
      <c r="QB190">
        <v>0</v>
      </c>
      <c r="QC190">
        <v>0</v>
      </c>
      <c r="QD190">
        <v>0</v>
      </c>
      <c r="QE190">
        <v>0</v>
      </c>
      <c r="QF190">
        <v>0</v>
      </c>
      <c r="QG190">
        <v>0</v>
      </c>
      <c r="QH190">
        <v>0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1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</row>
    <row r="191" spans="2:467" x14ac:dyDescent="0.4">
      <c r="B191" t="str">
        <f>"9784480511072"</f>
        <v>9784480511072</v>
      </c>
      <c r="C191" t="s">
        <v>1190</v>
      </c>
      <c r="D191" t="s">
        <v>1191</v>
      </c>
      <c r="E191" t="s">
        <v>1192</v>
      </c>
      <c r="G191" t="s">
        <v>501</v>
      </c>
      <c r="H191" t="str">
        <f>"0132"</f>
        <v>0132</v>
      </c>
      <c r="I191" t="s">
        <v>481</v>
      </c>
      <c r="J191" t="s">
        <v>487</v>
      </c>
      <c r="K191" t="s">
        <v>1053</v>
      </c>
      <c r="L191" s="1">
        <v>44783</v>
      </c>
      <c r="M191">
        <v>1400</v>
      </c>
      <c r="N191" t="str">
        <f>"133.4"</f>
        <v>133.4</v>
      </c>
      <c r="P191">
        <v>16</v>
      </c>
      <c r="Q191">
        <v>15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1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2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1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1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1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1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1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1</v>
      </c>
      <c r="JN191">
        <v>0</v>
      </c>
      <c r="JO191">
        <v>0</v>
      </c>
      <c r="JP191">
        <v>0</v>
      </c>
      <c r="JQ191">
        <v>1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1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1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0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1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1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  <c r="PB191">
        <v>0</v>
      </c>
      <c r="PC191">
        <v>0</v>
      </c>
      <c r="PD191">
        <v>0</v>
      </c>
      <c r="PE191">
        <v>0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0</v>
      </c>
      <c r="PL191">
        <v>1</v>
      </c>
      <c r="PM191">
        <v>0</v>
      </c>
      <c r="PN191">
        <v>0</v>
      </c>
      <c r="PO191">
        <v>0</v>
      </c>
      <c r="PP191">
        <v>0</v>
      </c>
      <c r="PQ191">
        <v>0</v>
      </c>
      <c r="PR191">
        <v>0</v>
      </c>
      <c r="PS191">
        <v>0</v>
      </c>
      <c r="PT191">
        <v>0</v>
      </c>
      <c r="PU191">
        <v>0</v>
      </c>
      <c r="PV191">
        <v>0</v>
      </c>
      <c r="PW191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</row>
    <row r="192" spans="2:467" x14ac:dyDescent="0.4">
      <c r="B192" t="str">
        <f>"9784101006055"</f>
        <v>9784101006055</v>
      </c>
      <c r="C192" t="s">
        <v>1194</v>
      </c>
      <c r="D192" t="s">
        <v>1195</v>
      </c>
      <c r="E192" t="s">
        <v>1196</v>
      </c>
      <c r="G192" t="s">
        <v>516</v>
      </c>
      <c r="H192" t="str">
        <f>"0193"</f>
        <v>0193</v>
      </c>
      <c r="I192" t="s">
        <v>481</v>
      </c>
      <c r="J192" t="s">
        <v>487</v>
      </c>
      <c r="K192" t="s">
        <v>488</v>
      </c>
      <c r="L192" s="1">
        <v>39661</v>
      </c>
      <c r="M192">
        <v>280</v>
      </c>
      <c r="N192" t="str">
        <f>"913.6"</f>
        <v>913.6</v>
      </c>
      <c r="P192">
        <v>16</v>
      </c>
      <c r="Q192">
        <v>15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0</v>
      </c>
      <c r="Z192">
        <v>1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1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1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1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1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1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1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1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1</v>
      </c>
      <c r="NS192">
        <v>0</v>
      </c>
      <c r="NT192">
        <v>0</v>
      </c>
      <c r="NU192">
        <v>0</v>
      </c>
      <c r="NV192">
        <v>1</v>
      </c>
      <c r="NW192">
        <v>0</v>
      </c>
      <c r="NX192">
        <v>0</v>
      </c>
      <c r="NY192">
        <v>2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1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</row>
    <row r="193" spans="2:467" x14ac:dyDescent="0.4">
      <c r="B193" t="str">
        <f>"9784480511058"</f>
        <v>9784480511058</v>
      </c>
      <c r="C193" t="s">
        <v>1210</v>
      </c>
      <c r="D193" t="s">
        <v>1191</v>
      </c>
      <c r="E193" t="s">
        <v>1211</v>
      </c>
      <c r="G193" t="s">
        <v>501</v>
      </c>
      <c r="H193" t="str">
        <f>"0132"</f>
        <v>0132</v>
      </c>
      <c r="I193" t="s">
        <v>481</v>
      </c>
      <c r="J193" t="s">
        <v>487</v>
      </c>
      <c r="K193" t="s">
        <v>1053</v>
      </c>
      <c r="L193" s="1">
        <v>44783</v>
      </c>
      <c r="M193">
        <v>1300</v>
      </c>
      <c r="N193" t="str">
        <f>"133.4"</f>
        <v>133.4</v>
      </c>
      <c r="P193">
        <v>16</v>
      </c>
      <c r="Q193">
        <v>15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1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2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1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1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1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1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1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1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1</v>
      </c>
      <c r="JN193">
        <v>0</v>
      </c>
      <c r="JO193">
        <v>0</v>
      </c>
      <c r="JP193">
        <v>0</v>
      </c>
      <c r="JQ193">
        <v>1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1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1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1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1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1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</row>
    <row r="194" spans="2:467" x14ac:dyDescent="0.4">
      <c r="B194" t="str">
        <f>"9784344428539"</f>
        <v>9784344428539</v>
      </c>
      <c r="C194" t="s">
        <v>1212</v>
      </c>
      <c r="D194" t="s">
        <v>1213</v>
      </c>
      <c r="E194" t="s">
        <v>1214</v>
      </c>
      <c r="G194" t="s">
        <v>714</v>
      </c>
      <c r="H194" t="str">
        <f>"0193"</f>
        <v>0193</v>
      </c>
      <c r="I194" t="s">
        <v>481</v>
      </c>
      <c r="J194" t="s">
        <v>487</v>
      </c>
      <c r="K194" t="s">
        <v>488</v>
      </c>
      <c r="L194" s="1">
        <v>43565</v>
      </c>
      <c r="M194">
        <v>790</v>
      </c>
      <c r="N194" t="str">
        <f>"913.6"</f>
        <v>913.6</v>
      </c>
      <c r="P194">
        <v>15</v>
      </c>
      <c r="Q194">
        <v>15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1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1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1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1</v>
      </c>
      <c r="GJ194">
        <v>0</v>
      </c>
      <c r="GK194">
        <v>0</v>
      </c>
      <c r="GL194">
        <v>0</v>
      </c>
      <c r="GM194">
        <v>0</v>
      </c>
      <c r="GN194">
        <v>1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1</v>
      </c>
      <c r="IU194">
        <v>0</v>
      </c>
      <c r="IV194">
        <v>0</v>
      </c>
      <c r="IW194">
        <v>0</v>
      </c>
      <c r="IX194">
        <v>0</v>
      </c>
      <c r="IY194">
        <v>1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1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1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1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1</v>
      </c>
      <c r="LS194">
        <v>0</v>
      </c>
      <c r="LT194">
        <v>0</v>
      </c>
      <c r="LU194">
        <v>0</v>
      </c>
      <c r="LV194">
        <v>0</v>
      </c>
      <c r="LW194">
        <v>1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1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1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1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</row>
    <row r="195" spans="2:467" hidden="1" x14ac:dyDescent="0.4">
      <c r="B195" t="str">
        <f>"9784334046378"</f>
        <v>9784334046378</v>
      </c>
      <c r="C195" t="s">
        <v>1248</v>
      </c>
      <c r="D195" t="s">
        <v>1249</v>
      </c>
      <c r="E195">
        <v>1230</v>
      </c>
      <c r="G195" t="s">
        <v>676</v>
      </c>
      <c r="H195" t="str">
        <f>"0244"</f>
        <v>0244</v>
      </c>
      <c r="I195" t="s">
        <v>481</v>
      </c>
      <c r="J195" t="s">
        <v>482</v>
      </c>
      <c r="K195" t="s">
        <v>868</v>
      </c>
      <c r="L195" s="1">
        <v>44880</v>
      </c>
      <c r="M195">
        <v>860</v>
      </c>
      <c r="N195" t="str">
        <f>"455.1"</f>
        <v>455.1</v>
      </c>
      <c r="P195">
        <v>15</v>
      </c>
      <c r="Q195">
        <v>15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1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1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1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1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1</v>
      </c>
      <c r="HV195">
        <v>1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1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1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1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1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1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1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</row>
    <row r="196" spans="2:467" x14ac:dyDescent="0.4">
      <c r="B196" t="str">
        <f>"9784167919214"</f>
        <v>9784167919214</v>
      </c>
      <c r="C196" t="s">
        <v>975</v>
      </c>
      <c r="D196" t="s">
        <v>976</v>
      </c>
      <c r="E196" t="s">
        <v>977</v>
      </c>
      <c r="G196" t="s">
        <v>639</v>
      </c>
      <c r="H196" t="str">
        <f>"0193"</f>
        <v>0193</v>
      </c>
      <c r="I196" t="s">
        <v>481</v>
      </c>
      <c r="J196" t="s">
        <v>487</v>
      </c>
      <c r="K196" t="s">
        <v>488</v>
      </c>
      <c r="L196" s="1">
        <v>44776</v>
      </c>
      <c r="M196">
        <v>660</v>
      </c>
      <c r="N196" t="str">
        <f>"913.6"</f>
        <v>913.6</v>
      </c>
      <c r="P196">
        <v>21</v>
      </c>
      <c r="Q196">
        <v>14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2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1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3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1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1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1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1</v>
      </c>
      <c r="JN196">
        <v>0</v>
      </c>
      <c r="JO196">
        <v>0</v>
      </c>
      <c r="JP196">
        <v>0</v>
      </c>
      <c r="JQ196">
        <v>2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3</v>
      </c>
      <c r="KA196">
        <v>0</v>
      </c>
      <c r="KB196">
        <v>1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2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1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1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</row>
    <row r="197" spans="2:467" hidden="1" x14ac:dyDescent="0.4">
      <c r="B197" t="str">
        <f>"9784334046446"</f>
        <v>9784334046446</v>
      </c>
      <c r="C197" t="s">
        <v>1002</v>
      </c>
      <c r="D197" t="s">
        <v>1003</v>
      </c>
      <c r="E197">
        <v>1237</v>
      </c>
      <c r="G197" t="s">
        <v>676</v>
      </c>
      <c r="H197" t="str">
        <f>"0236"</f>
        <v>0236</v>
      </c>
      <c r="I197" t="s">
        <v>481</v>
      </c>
      <c r="J197" t="s">
        <v>482</v>
      </c>
      <c r="K197" t="s">
        <v>505</v>
      </c>
      <c r="L197" s="1">
        <v>44943</v>
      </c>
      <c r="M197">
        <v>820</v>
      </c>
      <c r="N197" t="str">
        <f>"366.28"</f>
        <v>366.28</v>
      </c>
      <c r="P197">
        <v>20</v>
      </c>
      <c r="Q197">
        <v>14</v>
      </c>
      <c r="R197">
        <v>0</v>
      </c>
      <c r="S197">
        <v>2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2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1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2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1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2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2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2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1</v>
      </c>
      <c r="JR197">
        <v>0</v>
      </c>
      <c r="JS197">
        <v>0</v>
      </c>
      <c r="JT197">
        <v>0</v>
      </c>
      <c r="JU197">
        <v>1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1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1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1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</row>
    <row r="198" spans="2:467" hidden="1" x14ac:dyDescent="0.4">
      <c r="B198" t="str">
        <f>"9784480684363"</f>
        <v>9784480684363</v>
      </c>
      <c r="C198" t="s">
        <v>1011</v>
      </c>
      <c r="D198" t="s">
        <v>1012</v>
      </c>
      <c r="E198">
        <v>410</v>
      </c>
      <c r="G198" t="s">
        <v>501</v>
      </c>
      <c r="H198" t="str">
        <f>"0220"</f>
        <v>0220</v>
      </c>
      <c r="I198" t="s">
        <v>481</v>
      </c>
      <c r="J198" t="s">
        <v>482</v>
      </c>
      <c r="K198" t="s">
        <v>1013</v>
      </c>
      <c r="L198" s="1">
        <v>44812</v>
      </c>
      <c r="M198">
        <v>780</v>
      </c>
      <c r="N198" t="str">
        <f>"201"</f>
        <v>201</v>
      </c>
      <c r="P198">
        <v>20</v>
      </c>
      <c r="Q198">
        <v>14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4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2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1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1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2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1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1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2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1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1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1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1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</row>
    <row r="199" spans="2:467" x14ac:dyDescent="0.4">
      <c r="B199" t="str">
        <f>"9784794218797"</f>
        <v>9784794218797</v>
      </c>
      <c r="C199" t="s">
        <v>1028</v>
      </c>
      <c r="D199" t="s">
        <v>846</v>
      </c>
      <c r="E199" t="s">
        <v>1029</v>
      </c>
      <c r="G199" t="s">
        <v>848</v>
      </c>
      <c r="H199" t="str">
        <f>"0122"</f>
        <v>0122</v>
      </c>
      <c r="I199" t="s">
        <v>481</v>
      </c>
      <c r="J199" t="s">
        <v>487</v>
      </c>
      <c r="K199" t="s">
        <v>579</v>
      </c>
      <c r="L199" s="1">
        <v>40942</v>
      </c>
      <c r="M199">
        <v>900</v>
      </c>
      <c r="N199" t="str">
        <f>"209"</f>
        <v>209</v>
      </c>
      <c r="P199">
        <v>19</v>
      </c>
      <c r="Q199">
        <v>14</v>
      </c>
      <c r="R199">
        <v>0</v>
      </c>
      <c r="S199">
        <v>0</v>
      </c>
      <c r="T199">
        <v>2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3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1</v>
      </c>
      <c r="EA199">
        <v>0</v>
      </c>
      <c r="EB199">
        <v>0</v>
      </c>
      <c r="EC199">
        <v>0</v>
      </c>
      <c r="ED199">
        <v>2</v>
      </c>
      <c r="EE199">
        <v>0</v>
      </c>
      <c r="EF199">
        <v>0</v>
      </c>
      <c r="EG199">
        <v>0</v>
      </c>
      <c r="EH199">
        <v>1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1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1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1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2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1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1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1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1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1</v>
      </c>
    </row>
    <row r="200" spans="2:467" hidden="1" x14ac:dyDescent="0.4">
      <c r="B200" t="str">
        <f>"9784334046477"</f>
        <v>9784334046477</v>
      </c>
      <c r="C200" t="s">
        <v>1065</v>
      </c>
      <c r="D200" t="s">
        <v>1066</v>
      </c>
      <c r="E200">
        <v>1240</v>
      </c>
      <c r="G200" t="s">
        <v>676</v>
      </c>
      <c r="H200" t="str">
        <f>"0236"</f>
        <v>0236</v>
      </c>
      <c r="I200" t="s">
        <v>481</v>
      </c>
      <c r="J200" t="s">
        <v>482</v>
      </c>
      <c r="K200" t="s">
        <v>505</v>
      </c>
      <c r="L200" s="1">
        <v>44943</v>
      </c>
      <c r="M200">
        <v>940</v>
      </c>
      <c r="N200" t="str">
        <f>"383.8"</f>
        <v>383.8</v>
      </c>
      <c r="P200">
        <v>19</v>
      </c>
      <c r="Q200">
        <v>14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1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1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1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1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1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3</v>
      </c>
      <c r="HV200">
        <v>1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1</v>
      </c>
      <c r="IU200">
        <v>0</v>
      </c>
      <c r="IV200">
        <v>0</v>
      </c>
      <c r="IW200">
        <v>0</v>
      </c>
      <c r="IX200">
        <v>0</v>
      </c>
      <c r="IY200">
        <v>3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1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1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2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</row>
    <row r="201" spans="2:467" hidden="1" x14ac:dyDescent="0.4">
      <c r="B201" t="str">
        <f>"9784087212440"</f>
        <v>9784087212440</v>
      </c>
      <c r="C201" t="s">
        <v>1073</v>
      </c>
      <c r="D201" t="s">
        <v>1074</v>
      </c>
      <c r="E201" t="s">
        <v>1075</v>
      </c>
      <c r="G201" t="s">
        <v>536</v>
      </c>
      <c r="H201" t="str">
        <f>"0236"</f>
        <v>0236</v>
      </c>
      <c r="I201" t="s">
        <v>481</v>
      </c>
      <c r="J201" t="s">
        <v>482</v>
      </c>
      <c r="K201" t="s">
        <v>505</v>
      </c>
      <c r="L201" s="1">
        <v>44911</v>
      </c>
      <c r="M201">
        <v>1000</v>
      </c>
      <c r="N201" t="str">
        <f>"377.96"</f>
        <v>377.96</v>
      </c>
      <c r="P201">
        <v>18</v>
      </c>
      <c r="Q201">
        <v>14</v>
      </c>
      <c r="R201">
        <v>0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5</v>
      </c>
      <c r="CI201">
        <v>1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1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1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1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1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1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1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1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1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1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1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0</v>
      </c>
      <c r="QY201">
        <v>0</v>
      </c>
    </row>
    <row r="202" spans="2:467" hidden="1" x14ac:dyDescent="0.4">
      <c r="B202" t="str">
        <f>"9784004319184"</f>
        <v>9784004319184</v>
      </c>
      <c r="C202" t="s">
        <v>1092</v>
      </c>
      <c r="D202" t="s">
        <v>1093</v>
      </c>
      <c r="E202" t="s">
        <v>1094</v>
      </c>
      <c r="G202" t="s">
        <v>521</v>
      </c>
      <c r="H202" t="str">
        <f>"0220"</f>
        <v>0220</v>
      </c>
      <c r="I202" t="s">
        <v>481</v>
      </c>
      <c r="J202" t="s">
        <v>482</v>
      </c>
      <c r="K202" t="s">
        <v>1013</v>
      </c>
      <c r="L202" s="1">
        <v>44732</v>
      </c>
      <c r="M202">
        <v>1160</v>
      </c>
      <c r="N202" t="str">
        <f>"209.5"</f>
        <v>209.5</v>
      </c>
      <c r="P202">
        <v>18</v>
      </c>
      <c r="Q202">
        <v>14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1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4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1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1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1</v>
      </c>
      <c r="FG202">
        <v>0</v>
      </c>
      <c r="FH202">
        <v>1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1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1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1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1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1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2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1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0</v>
      </c>
      <c r="QU202">
        <v>0</v>
      </c>
      <c r="QV202">
        <v>0</v>
      </c>
      <c r="QW202">
        <v>0</v>
      </c>
      <c r="QX202">
        <v>0</v>
      </c>
      <c r="QY202">
        <v>0</v>
      </c>
    </row>
    <row r="203" spans="2:467" hidden="1" x14ac:dyDescent="0.4">
      <c r="B203" t="str">
        <f>"9784334046002"</f>
        <v>9784334046002</v>
      </c>
      <c r="C203" t="s">
        <v>1126</v>
      </c>
      <c r="D203" t="s">
        <v>1127</v>
      </c>
      <c r="E203">
        <v>1192</v>
      </c>
      <c r="G203" t="s">
        <v>676</v>
      </c>
      <c r="H203" t="str">
        <f>"0236"</f>
        <v>0236</v>
      </c>
      <c r="I203" t="s">
        <v>481</v>
      </c>
      <c r="J203" t="s">
        <v>482</v>
      </c>
      <c r="K203" t="s">
        <v>505</v>
      </c>
      <c r="L203" s="1">
        <v>44663</v>
      </c>
      <c r="M203">
        <v>900</v>
      </c>
      <c r="N203" t="str">
        <f>"361.5"</f>
        <v>361.5</v>
      </c>
      <c r="P203">
        <v>17</v>
      </c>
      <c r="Q203">
        <v>14</v>
      </c>
      <c r="R203">
        <v>0</v>
      </c>
      <c r="S203">
        <v>0</v>
      </c>
      <c r="T203">
        <v>1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2</v>
      </c>
      <c r="CI203">
        <v>1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1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1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1</v>
      </c>
      <c r="FY203">
        <v>0</v>
      </c>
      <c r="FZ203">
        <v>1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1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1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1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1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1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3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</row>
    <row r="204" spans="2:467" hidden="1" x14ac:dyDescent="0.4">
      <c r="B204" t="str">
        <f>"9784797681123"</f>
        <v>9784797681123</v>
      </c>
      <c r="C204" t="s">
        <v>1148</v>
      </c>
      <c r="D204" t="s">
        <v>1149</v>
      </c>
      <c r="E204">
        <v>112</v>
      </c>
      <c r="G204" t="s">
        <v>1150</v>
      </c>
      <c r="H204" t="str">
        <f>"0221"</f>
        <v>0221</v>
      </c>
      <c r="I204" t="s">
        <v>481</v>
      </c>
      <c r="J204" t="s">
        <v>482</v>
      </c>
      <c r="K204" t="s">
        <v>620</v>
      </c>
      <c r="L204" s="1">
        <v>44902</v>
      </c>
      <c r="M204">
        <v>990</v>
      </c>
      <c r="N204" t="str">
        <f>"383.1"</f>
        <v>383.1</v>
      </c>
      <c r="P204">
        <v>17</v>
      </c>
      <c r="Q204">
        <v>14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0</v>
      </c>
      <c r="AA204">
        <v>1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1</v>
      </c>
      <c r="CI204">
        <v>1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1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2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1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1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1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1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1</v>
      </c>
      <c r="ND204">
        <v>0</v>
      </c>
      <c r="NE204">
        <v>2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2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1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0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0</v>
      </c>
      <c r="QY204">
        <v>0</v>
      </c>
    </row>
    <row r="205" spans="2:467" hidden="1" x14ac:dyDescent="0.4">
      <c r="B205" t="str">
        <f>"9784106109768"</f>
        <v>9784106109768</v>
      </c>
      <c r="C205" t="s">
        <v>1151</v>
      </c>
      <c r="D205" t="s">
        <v>1152</v>
      </c>
      <c r="E205">
        <v>976</v>
      </c>
      <c r="G205" t="s">
        <v>516</v>
      </c>
      <c r="H205" t="str">
        <f>"0261"</f>
        <v>0261</v>
      </c>
      <c r="I205" t="s">
        <v>481</v>
      </c>
      <c r="J205" t="s">
        <v>482</v>
      </c>
      <c r="K205" t="s">
        <v>766</v>
      </c>
      <c r="L205" s="1">
        <v>44911</v>
      </c>
      <c r="M205">
        <v>860</v>
      </c>
      <c r="N205" t="str">
        <f>"611.1"</f>
        <v>611.1</v>
      </c>
      <c r="P205">
        <v>17</v>
      </c>
      <c r="Q205">
        <v>14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1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1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1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2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2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2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1</v>
      </c>
      <c r="LW205">
        <v>1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1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1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1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1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1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</row>
    <row r="206" spans="2:467" hidden="1" x14ac:dyDescent="0.4">
      <c r="B206" t="str">
        <f>"9784065300138"</f>
        <v>9784065300138</v>
      </c>
      <c r="C206" t="s">
        <v>1153</v>
      </c>
      <c r="D206" t="s">
        <v>1154</v>
      </c>
      <c r="E206">
        <v>2682</v>
      </c>
      <c r="G206" t="s">
        <v>548</v>
      </c>
      <c r="H206" t="str">
        <f>"0233"</f>
        <v>0233</v>
      </c>
      <c r="I206" t="s">
        <v>481</v>
      </c>
      <c r="J206" t="s">
        <v>482</v>
      </c>
      <c r="K206" t="s">
        <v>537</v>
      </c>
      <c r="L206" s="1">
        <v>44853</v>
      </c>
      <c r="M206">
        <v>800</v>
      </c>
      <c r="N206" t="str">
        <f>"289.1"</f>
        <v>289.1</v>
      </c>
      <c r="P206">
        <v>17</v>
      </c>
      <c r="Q206">
        <v>14</v>
      </c>
      <c r="R206">
        <v>0</v>
      </c>
      <c r="S206">
        <v>1</v>
      </c>
      <c r="T206">
        <v>0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1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1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1</v>
      </c>
      <c r="HV206">
        <v>0</v>
      </c>
      <c r="HW206">
        <v>0</v>
      </c>
      <c r="HX206">
        <v>1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1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1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1</v>
      </c>
      <c r="MM206">
        <v>0</v>
      </c>
      <c r="MN206">
        <v>1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3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2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1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1</v>
      </c>
    </row>
    <row r="207" spans="2:467" hidden="1" x14ac:dyDescent="0.4">
      <c r="B207" t="str">
        <f>"9784334039868"</f>
        <v>9784334039868</v>
      </c>
      <c r="C207" t="s">
        <v>1155</v>
      </c>
      <c r="D207" t="s">
        <v>1156</v>
      </c>
      <c r="E207">
        <v>878</v>
      </c>
      <c r="G207" t="s">
        <v>676</v>
      </c>
      <c r="H207" t="str">
        <f>"0233"</f>
        <v>0233</v>
      </c>
      <c r="I207" t="s">
        <v>481</v>
      </c>
      <c r="J207" t="s">
        <v>482</v>
      </c>
      <c r="K207" t="s">
        <v>537</v>
      </c>
      <c r="L207" s="1">
        <v>42843</v>
      </c>
      <c r="M207">
        <v>780</v>
      </c>
      <c r="N207" t="str">
        <f>"331.19"</f>
        <v>331.19</v>
      </c>
      <c r="P207">
        <v>17</v>
      </c>
      <c r="Q207">
        <v>14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1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1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1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3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1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1</v>
      </c>
      <c r="JR207">
        <v>1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2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1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1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1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</row>
    <row r="208" spans="2:467" hidden="1" x14ac:dyDescent="0.4">
      <c r="B208" t="str">
        <f>"9784065288184"</f>
        <v>9784065288184</v>
      </c>
      <c r="C208" t="s">
        <v>1163</v>
      </c>
      <c r="D208" t="s">
        <v>1164</v>
      </c>
      <c r="E208" t="s">
        <v>1165</v>
      </c>
      <c r="G208" t="s">
        <v>548</v>
      </c>
      <c r="H208" t="str">
        <f>"0245"</f>
        <v>0245</v>
      </c>
      <c r="I208" t="s">
        <v>481</v>
      </c>
      <c r="J208" t="s">
        <v>482</v>
      </c>
      <c r="K208" t="s">
        <v>593</v>
      </c>
      <c r="L208" s="1">
        <v>44762</v>
      </c>
      <c r="M208">
        <v>1000</v>
      </c>
      <c r="N208" t="str">
        <f>"461"</f>
        <v>461</v>
      </c>
      <c r="P208">
        <v>16</v>
      </c>
      <c r="Q208">
        <v>14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1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1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1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2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1</v>
      </c>
      <c r="FK208">
        <v>0</v>
      </c>
      <c r="FL208">
        <v>0</v>
      </c>
      <c r="FM208">
        <v>0</v>
      </c>
      <c r="FN208">
        <v>0</v>
      </c>
      <c r="FO208">
        <v>1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1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2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1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1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1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1</v>
      </c>
      <c r="PL208">
        <v>0</v>
      </c>
      <c r="PM208">
        <v>1</v>
      </c>
      <c r="PN208">
        <v>0</v>
      </c>
      <c r="PO208">
        <v>0</v>
      </c>
      <c r="PP208">
        <v>1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0</v>
      </c>
      <c r="QV208">
        <v>0</v>
      </c>
      <c r="QW208">
        <v>0</v>
      </c>
      <c r="QX208">
        <v>0</v>
      </c>
      <c r="QY208">
        <v>0</v>
      </c>
    </row>
    <row r="209" spans="2:467" hidden="1" x14ac:dyDescent="0.4">
      <c r="B209" t="str">
        <f>"9784480075147"</f>
        <v>9784480075147</v>
      </c>
      <c r="C209" t="s">
        <v>1179</v>
      </c>
      <c r="D209" t="s">
        <v>786</v>
      </c>
      <c r="E209">
        <v>1671</v>
      </c>
      <c r="G209" t="s">
        <v>501</v>
      </c>
      <c r="H209" t="str">
        <f>"0210"</f>
        <v>0210</v>
      </c>
      <c r="I209" t="s">
        <v>481</v>
      </c>
      <c r="J209" t="s">
        <v>482</v>
      </c>
      <c r="K209" t="s">
        <v>483</v>
      </c>
      <c r="L209" s="1">
        <v>44845</v>
      </c>
      <c r="M209">
        <v>1000</v>
      </c>
      <c r="N209" t="str">
        <f>"309.021"</f>
        <v>309.021</v>
      </c>
      <c r="P209">
        <v>16</v>
      </c>
      <c r="Q209">
        <v>14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1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1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1</v>
      </c>
      <c r="GJ209">
        <v>0</v>
      </c>
      <c r="GK209">
        <v>0</v>
      </c>
      <c r="GL209">
        <v>0</v>
      </c>
      <c r="GM209">
        <v>0</v>
      </c>
      <c r="GN209">
        <v>1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1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1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1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1</v>
      </c>
      <c r="JQ209">
        <v>2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1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1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2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1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1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</row>
    <row r="210" spans="2:467" hidden="1" x14ac:dyDescent="0.4">
      <c r="B210" t="str">
        <f>"9784315526653"</f>
        <v>9784315526653</v>
      </c>
      <c r="C210" t="s">
        <v>1197</v>
      </c>
      <c r="D210" t="s">
        <v>1198</v>
      </c>
      <c r="G210" t="s">
        <v>1199</v>
      </c>
      <c r="H210" t="str">
        <f>"0240"</f>
        <v>0240</v>
      </c>
      <c r="I210" t="s">
        <v>481</v>
      </c>
      <c r="J210" t="s">
        <v>482</v>
      </c>
      <c r="K210" t="s">
        <v>703</v>
      </c>
      <c r="L210" s="1">
        <v>44944</v>
      </c>
      <c r="M210">
        <v>2364</v>
      </c>
      <c r="N210" t="str">
        <f>"407"</f>
        <v>407</v>
      </c>
      <c r="P210">
        <v>16</v>
      </c>
      <c r="Q210">
        <v>14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2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1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1</v>
      </c>
      <c r="DZ210">
        <v>0</v>
      </c>
      <c r="EA210">
        <v>0</v>
      </c>
      <c r="EB210">
        <v>0</v>
      </c>
      <c r="EC210">
        <v>0</v>
      </c>
      <c r="ED210">
        <v>1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1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1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1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2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1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1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1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1</v>
      </c>
      <c r="QU210">
        <v>0</v>
      </c>
      <c r="QV210">
        <v>0</v>
      </c>
      <c r="QW210">
        <v>0</v>
      </c>
      <c r="QX210">
        <v>0</v>
      </c>
      <c r="QY210">
        <v>0</v>
      </c>
    </row>
    <row r="211" spans="2:467" x14ac:dyDescent="0.4">
      <c r="B211" t="str">
        <f>"9784003751336"</f>
        <v>9784003751336</v>
      </c>
      <c r="C211" t="s">
        <v>1222</v>
      </c>
      <c r="D211" t="s">
        <v>562</v>
      </c>
      <c r="E211" t="s">
        <v>1223</v>
      </c>
      <c r="G211" t="s">
        <v>521</v>
      </c>
      <c r="H211" t="str">
        <f>"0197"</f>
        <v>0197</v>
      </c>
      <c r="I211" t="s">
        <v>481</v>
      </c>
      <c r="J211" t="s">
        <v>487</v>
      </c>
      <c r="K211" t="s">
        <v>564</v>
      </c>
      <c r="L211" s="1">
        <v>44820</v>
      </c>
      <c r="M211">
        <v>1140</v>
      </c>
      <c r="N211" t="str">
        <f>"953"</f>
        <v>953</v>
      </c>
      <c r="P211">
        <v>15</v>
      </c>
      <c r="Q211">
        <v>14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1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1</v>
      </c>
      <c r="CI211">
        <v>1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1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1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1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1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2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1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1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1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1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1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</row>
    <row r="212" spans="2:467" hidden="1" x14ac:dyDescent="0.4">
      <c r="B212" t="str">
        <f>"9784480684394"</f>
        <v>9784480684394</v>
      </c>
      <c r="C212" t="s">
        <v>1232</v>
      </c>
      <c r="D212" t="s">
        <v>1233</v>
      </c>
      <c r="E212">
        <v>415</v>
      </c>
      <c r="G212" t="s">
        <v>501</v>
      </c>
      <c r="H212" t="str">
        <f>"0214"</f>
        <v>0214</v>
      </c>
      <c r="I212" t="s">
        <v>481</v>
      </c>
      <c r="J212" t="s">
        <v>482</v>
      </c>
      <c r="K212" t="s">
        <v>1085</v>
      </c>
      <c r="L212" s="1">
        <v>44874</v>
      </c>
      <c r="M212">
        <v>880</v>
      </c>
      <c r="N212" t="str">
        <f>"160"</f>
        <v>160</v>
      </c>
      <c r="P212">
        <v>15</v>
      </c>
      <c r="Q212">
        <v>14</v>
      </c>
      <c r="R212">
        <v>0</v>
      </c>
      <c r="S212">
        <v>1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1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2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1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1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1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1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1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1</v>
      </c>
      <c r="JN212">
        <v>0</v>
      </c>
      <c r="JO212">
        <v>0</v>
      </c>
      <c r="JP212">
        <v>0</v>
      </c>
      <c r="JQ212">
        <v>1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1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1</v>
      </c>
      <c r="OY212">
        <v>0</v>
      </c>
      <c r="OZ212">
        <v>1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1</v>
      </c>
      <c r="PL212">
        <v>0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</row>
    <row r="213" spans="2:467" x14ac:dyDescent="0.4">
      <c r="B213" t="str">
        <f>"9784101360638"</f>
        <v>9784101360638</v>
      </c>
      <c r="C213" t="s">
        <v>1263</v>
      </c>
      <c r="D213" t="s">
        <v>1264</v>
      </c>
      <c r="G213" t="s">
        <v>516</v>
      </c>
      <c r="H213" t="str">
        <f>"0193"</f>
        <v>0193</v>
      </c>
      <c r="I213" t="s">
        <v>481</v>
      </c>
      <c r="J213" t="s">
        <v>487</v>
      </c>
      <c r="K213" t="s">
        <v>488</v>
      </c>
      <c r="L213" s="1">
        <v>44862</v>
      </c>
      <c r="M213">
        <v>950</v>
      </c>
      <c r="N213" t="str">
        <f>"913.6"</f>
        <v>913.6</v>
      </c>
      <c r="P213">
        <v>15</v>
      </c>
      <c r="Q213">
        <v>14</v>
      </c>
      <c r="R213">
        <v>0</v>
      </c>
      <c r="S213">
        <v>0</v>
      </c>
      <c r="T213">
        <v>1</v>
      </c>
      <c r="U213">
        <v>0</v>
      </c>
      <c r="V213">
        <v>0</v>
      </c>
      <c r="W213">
        <v>1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1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1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1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1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1</v>
      </c>
      <c r="JN213">
        <v>0</v>
      </c>
      <c r="JO213">
        <v>1</v>
      </c>
      <c r="JP213">
        <v>0</v>
      </c>
      <c r="JQ213">
        <v>2</v>
      </c>
      <c r="JR213">
        <v>1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1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1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1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1</v>
      </c>
      <c r="QY213">
        <v>0</v>
      </c>
    </row>
    <row r="214" spans="2:467" x14ac:dyDescent="0.4">
      <c r="B214" t="str">
        <f>"9784344428522"</f>
        <v>9784344428522</v>
      </c>
      <c r="C214" t="s">
        <v>1280</v>
      </c>
      <c r="D214" t="s">
        <v>1213</v>
      </c>
      <c r="E214" t="s">
        <v>1281</v>
      </c>
      <c r="G214" t="s">
        <v>714</v>
      </c>
      <c r="H214" t="str">
        <f>"0193"</f>
        <v>0193</v>
      </c>
      <c r="I214" t="s">
        <v>481</v>
      </c>
      <c r="J214" t="s">
        <v>487</v>
      </c>
      <c r="K214" t="s">
        <v>488</v>
      </c>
      <c r="L214" s="1">
        <v>43565</v>
      </c>
      <c r="M214">
        <v>790</v>
      </c>
      <c r="N214" t="str">
        <f>"913.6"</f>
        <v>913.6</v>
      </c>
      <c r="P214">
        <v>14</v>
      </c>
      <c r="Q214">
        <v>14</v>
      </c>
      <c r="R214">
        <v>0</v>
      </c>
      <c r="S214">
        <v>0</v>
      </c>
      <c r="T214">
        <v>1</v>
      </c>
      <c r="U214">
        <v>0</v>
      </c>
      <c r="V214">
        <v>0</v>
      </c>
      <c r="W214">
        <v>1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1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1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1</v>
      </c>
      <c r="IU214">
        <v>0</v>
      </c>
      <c r="IV214">
        <v>0</v>
      </c>
      <c r="IW214">
        <v>0</v>
      </c>
      <c r="IX214">
        <v>0</v>
      </c>
      <c r="IY214">
        <v>1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1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1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1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1</v>
      </c>
      <c r="LS214">
        <v>0</v>
      </c>
      <c r="LT214">
        <v>0</v>
      </c>
      <c r="LU214">
        <v>0</v>
      </c>
      <c r="LV214">
        <v>0</v>
      </c>
      <c r="LW214">
        <v>1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1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1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</row>
    <row r="215" spans="2:467" x14ac:dyDescent="0.4">
      <c r="B215" t="str">
        <f>"9784062748681"</f>
        <v>9784062748681</v>
      </c>
      <c r="C215" t="s">
        <v>1304</v>
      </c>
      <c r="D215" t="s">
        <v>1071</v>
      </c>
      <c r="E215" t="s">
        <v>1305</v>
      </c>
      <c r="G215" t="s">
        <v>548</v>
      </c>
      <c r="H215" t="str">
        <f>"0193"</f>
        <v>0193</v>
      </c>
      <c r="I215" t="s">
        <v>481</v>
      </c>
      <c r="J215" t="s">
        <v>487</v>
      </c>
      <c r="K215" t="s">
        <v>488</v>
      </c>
      <c r="L215" s="1">
        <v>38231</v>
      </c>
      <c r="M215">
        <v>650</v>
      </c>
      <c r="N215" t="str">
        <f>"913.6"</f>
        <v>913.6</v>
      </c>
      <c r="P215">
        <v>14</v>
      </c>
      <c r="Q215">
        <v>14</v>
      </c>
      <c r="R215">
        <v>0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1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1</v>
      </c>
      <c r="CI215">
        <v>1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1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1</v>
      </c>
      <c r="JR215">
        <v>1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1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1</v>
      </c>
      <c r="LX215">
        <v>0</v>
      </c>
      <c r="LY215">
        <v>0</v>
      </c>
      <c r="LZ215">
        <v>1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1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1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1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1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</row>
    <row r="216" spans="2:467" hidden="1" x14ac:dyDescent="0.4">
      <c r="B216" t="str">
        <f>"9784040824178"</f>
        <v>9784040824178</v>
      </c>
      <c r="C216" t="s">
        <v>1323</v>
      </c>
      <c r="D216" t="s">
        <v>1324</v>
      </c>
      <c r="E216" t="s">
        <v>1325</v>
      </c>
      <c r="G216" t="s">
        <v>597</v>
      </c>
      <c r="H216" t="str">
        <f>"0236"</f>
        <v>0236</v>
      </c>
      <c r="I216" t="s">
        <v>481</v>
      </c>
      <c r="J216" t="s">
        <v>482</v>
      </c>
      <c r="K216" t="s">
        <v>505</v>
      </c>
      <c r="L216" s="1">
        <v>44933</v>
      </c>
      <c r="M216">
        <v>900</v>
      </c>
      <c r="N216" t="str">
        <f>"498.5"</f>
        <v>498.5</v>
      </c>
      <c r="P216">
        <v>14</v>
      </c>
      <c r="Q216">
        <v>14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1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1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1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1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1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1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1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1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1</v>
      </c>
      <c r="ND216">
        <v>0</v>
      </c>
      <c r="NE216">
        <v>1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1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1</v>
      </c>
      <c r="OT216">
        <v>1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</row>
    <row r="217" spans="2:467" x14ac:dyDescent="0.4">
      <c r="B217" t="str">
        <f>"9784101461410"</f>
        <v>9784101461410</v>
      </c>
      <c r="C217" t="s">
        <v>1334</v>
      </c>
      <c r="D217" t="s">
        <v>1335</v>
      </c>
      <c r="E217" t="s">
        <v>1336</v>
      </c>
      <c r="G217" t="s">
        <v>516</v>
      </c>
      <c r="H217" t="str">
        <f>"0193"</f>
        <v>0193</v>
      </c>
      <c r="I217" t="s">
        <v>481</v>
      </c>
      <c r="J217" t="s">
        <v>487</v>
      </c>
      <c r="K217" t="s">
        <v>488</v>
      </c>
      <c r="L217" s="1">
        <v>44893</v>
      </c>
      <c r="M217">
        <v>630</v>
      </c>
      <c r="N217" t="str">
        <f>"913.6"</f>
        <v>913.6</v>
      </c>
      <c r="P217">
        <v>14</v>
      </c>
      <c r="Q217">
        <v>14</v>
      </c>
      <c r="R217">
        <v>0</v>
      </c>
      <c r="S217">
        <v>0</v>
      </c>
      <c r="T217">
        <v>1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1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1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1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1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1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1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1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1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1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1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1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1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1</v>
      </c>
      <c r="QP217">
        <v>0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</row>
    <row r="218" spans="2:467" x14ac:dyDescent="0.4">
      <c r="B218" t="str">
        <f>"9784480510730"</f>
        <v>9784480510730</v>
      </c>
      <c r="C218" t="s">
        <v>1337</v>
      </c>
      <c r="D218" t="s">
        <v>1015</v>
      </c>
      <c r="E218" t="s">
        <v>1338</v>
      </c>
      <c r="G218" t="s">
        <v>501</v>
      </c>
      <c r="H218" t="str">
        <f>"0181"</f>
        <v>0181</v>
      </c>
      <c r="I218" t="s">
        <v>481</v>
      </c>
      <c r="J218" t="s">
        <v>487</v>
      </c>
      <c r="K218" t="s">
        <v>655</v>
      </c>
      <c r="L218" s="1">
        <v>44477</v>
      </c>
      <c r="M218">
        <v>1500</v>
      </c>
      <c r="N218" t="str">
        <f>"817.5"</f>
        <v>817.5</v>
      </c>
      <c r="P218">
        <v>14</v>
      </c>
      <c r="Q218">
        <v>14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1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1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1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1</v>
      </c>
      <c r="DZ218">
        <v>0</v>
      </c>
      <c r="EA218">
        <v>0</v>
      </c>
      <c r="EB218">
        <v>0</v>
      </c>
      <c r="EC218">
        <v>0</v>
      </c>
      <c r="ED218">
        <v>1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1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1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1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1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1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1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1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1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1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</row>
    <row r="219" spans="2:467" x14ac:dyDescent="0.4">
      <c r="B219" t="str">
        <f>"9784044007256"</f>
        <v>9784044007256</v>
      </c>
      <c r="C219" t="s">
        <v>1082</v>
      </c>
      <c r="D219" t="s">
        <v>1083</v>
      </c>
      <c r="E219" t="s">
        <v>1084</v>
      </c>
      <c r="G219" t="s">
        <v>597</v>
      </c>
      <c r="H219" t="str">
        <f>"0114"</f>
        <v>0114</v>
      </c>
      <c r="I219" t="s">
        <v>481</v>
      </c>
      <c r="J219" t="s">
        <v>487</v>
      </c>
      <c r="K219" t="s">
        <v>1085</v>
      </c>
      <c r="L219" s="1">
        <v>44915</v>
      </c>
      <c r="M219">
        <v>940</v>
      </c>
      <c r="N219" t="str">
        <f>"929.881"</f>
        <v>929.881</v>
      </c>
      <c r="P219">
        <v>18</v>
      </c>
      <c r="Q219">
        <v>13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6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1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1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1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1</v>
      </c>
      <c r="JN219">
        <v>0</v>
      </c>
      <c r="JO219">
        <v>0</v>
      </c>
      <c r="JP219">
        <v>0</v>
      </c>
      <c r="JQ219">
        <v>1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1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1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1</v>
      </c>
      <c r="OC219">
        <v>0</v>
      </c>
      <c r="OD219">
        <v>0</v>
      </c>
      <c r="OE219">
        <v>0</v>
      </c>
      <c r="OF219">
        <v>0</v>
      </c>
      <c r="OG219">
        <v>1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1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</row>
    <row r="220" spans="2:467" x14ac:dyDescent="0.4">
      <c r="B220" t="str">
        <f>"9784065286180"</f>
        <v>9784065286180</v>
      </c>
      <c r="C220" t="s">
        <v>1109</v>
      </c>
      <c r="D220" t="s">
        <v>1077</v>
      </c>
      <c r="E220" t="s">
        <v>1110</v>
      </c>
      <c r="G220" t="s">
        <v>548</v>
      </c>
      <c r="H220" t="str">
        <f>"0193"</f>
        <v>0193</v>
      </c>
      <c r="I220" t="s">
        <v>481</v>
      </c>
      <c r="J220" t="s">
        <v>487</v>
      </c>
      <c r="K220" t="s">
        <v>488</v>
      </c>
      <c r="L220" s="1">
        <v>44757</v>
      </c>
      <c r="M220">
        <v>880</v>
      </c>
      <c r="N220" t="str">
        <f>"913.6"</f>
        <v>913.6</v>
      </c>
      <c r="P220">
        <v>18</v>
      </c>
      <c r="Q220">
        <v>13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1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2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1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1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2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1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1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3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1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1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2</v>
      </c>
      <c r="OE220">
        <v>0</v>
      </c>
      <c r="OF220">
        <v>0</v>
      </c>
      <c r="OG220">
        <v>1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</row>
    <row r="221" spans="2:467" x14ac:dyDescent="0.4">
      <c r="B221" t="str">
        <f>"9784122073135"</f>
        <v>9784122073135</v>
      </c>
      <c r="C221" t="s">
        <v>1132</v>
      </c>
      <c r="D221" t="s">
        <v>1133</v>
      </c>
      <c r="E221" t="s">
        <v>1134</v>
      </c>
      <c r="G221" t="s">
        <v>540</v>
      </c>
      <c r="H221" t="str">
        <f>"1116"</f>
        <v>1116</v>
      </c>
      <c r="I221" t="s">
        <v>541</v>
      </c>
      <c r="J221" t="s">
        <v>487</v>
      </c>
      <c r="K221" t="s">
        <v>522</v>
      </c>
      <c r="L221" s="1">
        <v>44946</v>
      </c>
      <c r="M221">
        <v>1000</v>
      </c>
      <c r="N221" t="str">
        <f>"192.8"</f>
        <v>192.8</v>
      </c>
      <c r="P221">
        <v>17</v>
      </c>
      <c r="Q221">
        <v>13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1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1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1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2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1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3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1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2</v>
      </c>
      <c r="PL221">
        <v>0</v>
      </c>
      <c r="PM221">
        <v>1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1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1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</row>
    <row r="222" spans="2:467" hidden="1" x14ac:dyDescent="0.4">
      <c r="B222" t="str">
        <f>"9784309631561"</f>
        <v>9784309631561</v>
      </c>
      <c r="C222" t="s">
        <v>1141</v>
      </c>
      <c r="D222" t="s">
        <v>1142</v>
      </c>
      <c r="E222">
        <v>55</v>
      </c>
      <c r="G222" t="s">
        <v>1143</v>
      </c>
      <c r="H222" t="str">
        <f>"0216"</f>
        <v>0216</v>
      </c>
      <c r="I222" t="s">
        <v>481</v>
      </c>
      <c r="J222" t="s">
        <v>482</v>
      </c>
      <c r="K222" t="s">
        <v>522</v>
      </c>
      <c r="L222" s="1">
        <v>44826</v>
      </c>
      <c r="M222">
        <v>1270</v>
      </c>
      <c r="N222" t="str">
        <f>"193.1"</f>
        <v>193.1</v>
      </c>
      <c r="P222">
        <v>17</v>
      </c>
      <c r="Q222">
        <v>13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1</v>
      </c>
      <c r="BF222">
        <v>0</v>
      </c>
      <c r="BG222">
        <v>1</v>
      </c>
      <c r="BH222">
        <v>0</v>
      </c>
      <c r="BI222">
        <v>0</v>
      </c>
      <c r="BJ222">
        <v>0</v>
      </c>
      <c r="BK222">
        <v>0</v>
      </c>
      <c r="BL222">
        <v>1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4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1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1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2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1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1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1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1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</row>
    <row r="223" spans="2:467" hidden="1" x14ac:dyDescent="0.4">
      <c r="B223" t="str">
        <f>"9784121027207"</f>
        <v>9784121027207</v>
      </c>
      <c r="C223" t="s">
        <v>1166</v>
      </c>
      <c r="D223" t="s">
        <v>1167</v>
      </c>
      <c r="E223">
        <v>2720</v>
      </c>
      <c r="G223" t="s">
        <v>540</v>
      </c>
      <c r="H223" t="str">
        <f>"1221"</f>
        <v>1221</v>
      </c>
      <c r="I223" t="s">
        <v>541</v>
      </c>
      <c r="J223" t="s">
        <v>482</v>
      </c>
      <c r="K223" t="s">
        <v>620</v>
      </c>
      <c r="L223" s="1">
        <v>44853</v>
      </c>
      <c r="M223">
        <v>900</v>
      </c>
      <c r="N223" t="str">
        <f>"910.268"</f>
        <v>910.268</v>
      </c>
      <c r="P223">
        <v>16</v>
      </c>
      <c r="Q223">
        <v>13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1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2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1</v>
      </c>
      <c r="CI223">
        <v>1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1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1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1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2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2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1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1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1</v>
      </c>
      <c r="QX223">
        <v>1</v>
      </c>
      <c r="QY223">
        <v>0</v>
      </c>
    </row>
    <row r="224" spans="2:467" hidden="1" x14ac:dyDescent="0.4">
      <c r="B224" t="str">
        <f>"9784121027146"</f>
        <v>9784121027146</v>
      </c>
      <c r="C224" t="s">
        <v>1180</v>
      </c>
      <c r="D224" t="s">
        <v>1181</v>
      </c>
      <c r="E224">
        <v>2714</v>
      </c>
      <c r="G224" t="s">
        <v>540</v>
      </c>
      <c r="H224" t="str">
        <f>"1221"</f>
        <v>1221</v>
      </c>
      <c r="I224" t="s">
        <v>541</v>
      </c>
      <c r="J224" t="s">
        <v>482</v>
      </c>
      <c r="K224" t="s">
        <v>620</v>
      </c>
      <c r="L224" s="1">
        <v>44792</v>
      </c>
      <c r="M224">
        <v>1100</v>
      </c>
      <c r="N224" t="str">
        <f>"686.3"</f>
        <v>686.3</v>
      </c>
      <c r="P224">
        <v>16</v>
      </c>
      <c r="Q224">
        <v>13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0</v>
      </c>
      <c r="BD224">
        <v>0</v>
      </c>
      <c r="BE224">
        <v>1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1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1</v>
      </c>
      <c r="CI224">
        <v>1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1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1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1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2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1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1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3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</row>
    <row r="225" spans="2:467" hidden="1" x14ac:dyDescent="0.4">
      <c r="B225" t="str">
        <f>"9784065299289"</f>
        <v>9784065299289</v>
      </c>
      <c r="C225" t="s">
        <v>1182</v>
      </c>
      <c r="D225" t="s">
        <v>1183</v>
      </c>
      <c r="E225">
        <v>2684</v>
      </c>
      <c r="G225" t="s">
        <v>548</v>
      </c>
      <c r="H225" t="str">
        <f>"0236"</f>
        <v>0236</v>
      </c>
      <c r="I225" t="s">
        <v>481</v>
      </c>
      <c r="J225" t="s">
        <v>482</v>
      </c>
      <c r="K225" t="s">
        <v>505</v>
      </c>
      <c r="L225" s="1">
        <v>44881</v>
      </c>
      <c r="M225">
        <v>880</v>
      </c>
      <c r="N225" t="str">
        <f>"365"</f>
        <v>365</v>
      </c>
      <c r="P225">
        <v>16</v>
      </c>
      <c r="Q225">
        <v>13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1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1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1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1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2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1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1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2</v>
      </c>
      <c r="JN225">
        <v>0</v>
      </c>
      <c r="JO225">
        <v>0</v>
      </c>
      <c r="JP225">
        <v>0</v>
      </c>
      <c r="JQ225">
        <v>1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1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1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2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</row>
    <row r="226" spans="2:467" hidden="1" x14ac:dyDescent="0.4">
      <c r="B226" t="str">
        <f>"9784106109799"</f>
        <v>9784106109799</v>
      </c>
      <c r="C226" t="s">
        <v>1184</v>
      </c>
      <c r="D226" t="s">
        <v>1185</v>
      </c>
      <c r="E226">
        <v>979</v>
      </c>
      <c r="G226" t="s">
        <v>516</v>
      </c>
      <c r="H226" t="str">
        <f>"0230"</f>
        <v>0230</v>
      </c>
      <c r="I226" t="s">
        <v>481</v>
      </c>
      <c r="J226" t="s">
        <v>482</v>
      </c>
      <c r="K226" t="s">
        <v>600</v>
      </c>
      <c r="L226" s="1">
        <v>44911</v>
      </c>
      <c r="M226">
        <v>780</v>
      </c>
      <c r="N226" t="str">
        <f>"302.135"</f>
        <v>302.135</v>
      </c>
      <c r="P226">
        <v>16</v>
      </c>
      <c r="Q226">
        <v>13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1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3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1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1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1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1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1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2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1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1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1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1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</row>
    <row r="227" spans="2:467" hidden="1" x14ac:dyDescent="0.4">
      <c r="B227" t="str">
        <f>"9784815617691"</f>
        <v>9784815617691</v>
      </c>
      <c r="C227" t="s">
        <v>1186</v>
      </c>
      <c r="D227" t="s">
        <v>1187</v>
      </c>
      <c r="E227">
        <v>605</v>
      </c>
      <c r="G227" t="s">
        <v>666</v>
      </c>
      <c r="H227" t="str">
        <f>"0295"</f>
        <v>0295</v>
      </c>
      <c r="I227" t="s">
        <v>481</v>
      </c>
      <c r="J227" t="s">
        <v>482</v>
      </c>
      <c r="K227" t="s">
        <v>509</v>
      </c>
      <c r="L227" s="1">
        <v>44933</v>
      </c>
      <c r="M227">
        <v>900</v>
      </c>
      <c r="N227" t="str">
        <f>"002"</f>
        <v>002</v>
      </c>
      <c r="P227">
        <v>16</v>
      </c>
      <c r="Q227">
        <v>13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3</v>
      </c>
      <c r="CI227">
        <v>1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1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1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1</v>
      </c>
      <c r="IM227">
        <v>0</v>
      </c>
      <c r="IN227">
        <v>1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2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1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1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1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1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1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1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</row>
    <row r="228" spans="2:467" hidden="1" x14ac:dyDescent="0.4">
      <c r="B228" t="str">
        <f>"9784065215845"</f>
        <v>9784065215845</v>
      </c>
      <c r="C228" t="s">
        <v>1204</v>
      </c>
      <c r="D228" t="s">
        <v>514</v>
      </c>
      <c r="E228">
        <v>2595</v>
      </c>
      <c r="G228" t="s">
        <v>548</v>
      </c>
      <c r="H228" t="str">
        <f>"0210"</f>
        <v>0210</v>
      </c>
      <c r="I228" t="s">
        <v>481</v>
      </c>
      <c r="J228" t="s">
        <v>482</v>
      </c>
      <c r="K228" t="s">
        <v>483</v>
      </c>
      <c r="L228" s="1">
        <v>44153</v>
      </c>
      <c r="M228">
        <v>860</v>
      </c>
      <c r="N228" t="str">
        <f>"135.2"</f>
        <v>135.2</v>
      </c>
      <c r="P228">
        <v>16</v>
      </c>
      <c r="Q228">
        <v>13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2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1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1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2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1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1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1</v>
      </c>
      <c r="JN228">
        <v>0</v>
      </c>
      <c r="JO228">
        <v>0</v>
      </c>
      <c r="JP228">
        <v>1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1</v>
      </c>
      <c r="LX228">
        <v>0</v>
      </c>
      <c r="LY228">
        <v>0</v>
      </c>
      <c r="LZ228">
        <v>1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1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2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1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</row>
    <row r="229" spans="2:467" x14ac:dyDescent="0.4">
      <c r="B229" t="str">
        <f>"9784101287829"</f>
        <v>9784101287829</v>
      </c>
      <c r="C229" t="s">
        <v>1220</v>
      </c>
      <c r="D229" t="s">
        <v>1063</v>
      </c>
      <c r="E229" t="s">
        <v>1221</v>
      </c>
      <c r="G229" t="s">
        <v>516</v>
      </c>
      <c r="H229" t="str">
        <f>"0193"</f>
        <v>0193</v>
      </c>
      <c r="I229" t="s">
        <v>481</v>
      </c>
      <c r="J229" t="s">
        <v>487</v>
      </c>
      <c r="K229" t="s">
        <v>488</v>
      </c>
      <c r="L229" s="1">
        <v>40725</v>
      </c>
      <c r="M229">
        <v>630</v>
      </c>
      <c r="N229" t="str">
        <f>"913.6"</f>
        <v>913.6</v>
      </c>
      <c r="P229">
        <v>15</v>
      </c>
      <c r="Q229">
        <v>13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1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1</v>
      </c>
      <c r="FK229">
        <v>0</v>
      </c>
      <c r="FL229">
        <v>0</v>
      </c>
      <c r="FM229">
        <v>0</v>
      </c>
      <c r="FN229">
        <v>0</v>
      </c>
      <c r="FO229">
        <v>1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1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1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1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3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1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1</v>
      </c>
      <c r="QB229">
        <v>1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</row>
    <row r="230" spans="2:467" x14ac:dyDescent="0.4">
      <c r="B230" t="str">
        <f>"9784151200533"</f>
        <v>9784151200533</v>
      </c>
      <c r="C230" t="s">
        <v>1234</v>
      </c>
      <c r="D230" t="s">
        <v>1235</v>
      </c>
      <c r="E230" t="s">
        <v>1236</v>
      </c>
      <c r="G230" t="s">
        <v>963</v>
      </c>
      <c r="H230" t="str">
        <f>"0197"</f>
        <v>0197</v>
      </c>
      <c r="I230" t="s">
        <v>481</v>
      </c>
      <c r="J230" t="s">
        <v>487</v>
      </c>
      <c r="K230" t="s">
        <v>564</v>
      </c>
      <c r="L230" s="1">
        <v>40015</v>
      </c>
      <c r="M230">
        <v>900</v>
      </c>
      <c r="N230" t="str">
        <f>"933"</f>
        <v>933</v>
      </c>
      <c r="P230">
        <v>15</v>
      </c>
      <c r="Q230">
        <v>13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1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2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1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1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1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1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2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1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1</v>
      </c>
      <c r="JG230">
        <v>1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1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1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1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</row>
    <row r="231" spans="2:467" hidden="1" x14ac:dyDescent="0.4">
      <c r="B231" t="str">
        <f>"9784121507839"</f>
        <v>9784121507839</v>
      </c>
      <c r="C231" t="s">
        <v>1242</v>
      </c>
      <c r="D231" t="s">
        <v>1243</v>
      </c>
      <c r="E231">
        <v>783</v>
      </c>
      <c r="G231" t="s">
        <v>540</v>
      </c>
      <c r="H231" t="str">
        <f>"1236"</f>
        <v>1236</v>
      </c>
      <c r="I231" t="s">
        <v>541</v>
      </c>
      <c r="J231" t="s">
        <v>482</v>
      </c>
      <c r="K231" t="s">
        <v>505</v>
      </c>
      <c r="L231" s="1">
        <v>44933</v>
      </c>
      <c r="M231">
        <v>840</v>
      </c>
      <c r="N231" t="str">
        <f>"330.4"</f>
        <v>330.4</v>
      </c>
      <c r="P231">
        <v>15</v>
      </c>
      <c r="Q231">
        <v>13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1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1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1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2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1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1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1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1</v>
      </c>
      <c r="OT231">
        <v>2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1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1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1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</row>
    <row r="232" spans="2:467" x14ac:dyDescent="0.4">
      <c r="B232" t="str">
        <f>"9784003358610"</f>
        <v>9784003358610</v>
      </c>
      <c r="C232" t="s">
        <v>1244</v>
      </c>
      <c r="D232" t="s">
        <v>1245</v>
      </c>
      <c r="E232" t="s">
        <v>1246</v>
      </c>
      <c r="G232" t="s">
        <v>521</v>
      </c>
      <c r="H232" t="str">
        <f>"0170"</f>
        <v>0170</v>
      </c>
      <c r="I232" t="s">
        <v>481</v>
      </c>
      <c r="J232" t="s">
        <v>487</v>
      </c>
      <c r="K232" t="s">
        <v>1247</v>
      </c>
      <c r="L232" s="1">
        <v>44849</v>
      </c>
      <c r="M232">
        <v>1200</v>
      </c>
      <c r="N232" t="str">
        <f>"702.03"</f>
        <v>702.03</v>
      </c>
      <c r="P232">
        <v>15</v>
      </c>
      <c r="Q232">
        <v>13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1</v>
      </c>
      <c r="CI232">
        <v>1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1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1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1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2</v>
      </c>
      <c r="JG232">
        <v>2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1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1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1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1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1</v>
      </c>
      <c r="QU232">
        <v>0</v>
      </c>
      <c r="QV232">
        <v>0</v>
      </c>
      <c r="QW232">
        <v>0</v>
      </c>
      <c r="QX232">
        <v>0</v>
      </c>
      <c r="QY232">
        <v>0</v>
      </c>
    </row>
    <row r="233" spans="2:467" x14ac:dyDescent="0.4">
      <c r="B233" t="str">
        <f>"9784101206912"</f>
        <v>9784101206912</v>
      </c>
      <c r="C233" t="s">
        <v>1267</v>
      </c>
      <c r="D233" t="s">
        <v>1268</v>
      </c>
      <c r="E233" t="s">
        <v>1269</v>
      </c>
      <c r="G233" t="s">
        <v>516</v>
      </c>
      <c r="H233" t="str">
        <f>"0193"</f>
        <v>0193</v>
      </c>
      <c r="I233" t="s">
        <v>481</v>
      </c>
      <c r="J233" t="s">
        <v>487</v>
      </c>
      <c r="K233" t="s">
        <v>488</v>
      </c>
      <c r="L233" s="1">
        <v>42801</v>
      </c>
      <c r="M233">
        <v>750</v>
      </c>
      <c r="N233" t="str">
        <f>"913.6"</f>
        <v>913.6</v>
      </c>
      <c r="P233">
        <v>15</v>
      </c>
      <c r="Q233">
        <v>13</v>
      </c>
      <c r="R233">
        <v>0</v>
      </c>
      <c r="S233">
        <v>1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1</v>
      </c>
      <c r="BC233">
        <v>0</v>
      </c>
      <c r="BD233">
        <v>0</v>
      </c>
      <c r="BE233">
        <v>1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1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1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1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1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1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2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1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1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</row>
    <row r="234" spans="2:467" hidden="1" x14ac:dyDescent="0.4">
      <c r="B234" t="str">
        <f>"9784480075253"</f>
        <v>9784480075253</v>
      </c>
      <c r="C234" t="s">
        <v>1274</v>
      </c>
      <c r="D234" t="s">
        <v>1275</v>
      </c>
      <c r="E234">
        <v>1699</v>
      </c>
      <c r="G234" t="s">
        <v>501</v>
      </c>
      <c r="H234" t="str">
        <f>"0211"</f>
        <v>0211</v>
      </c>
      <c r="I234" t="s">
        <v>481</v>
      </c>
      <c r="J234" t="s">
        <v>482</v>
      </c>
      <c r="K234" t="s">
        <v>610</v>
      </c>
      <c r="L234" s="1">
        <v>44903</v>
      </c>
      <c r="M234">
        <v>840</v>
      </c>
      <c r="N234" t="str">
        <f>"143"</f>
        <v>143</v>
      </c>
      <c r="P234">
        <v>14</v>
      </c>
      <c r="Q234">
        <v>13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1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1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1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1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1</v>
      </c>
      <c r="EX234">
        <v>0</v>
      </c>
      <c r="EY234">
        <v>0</v>
      </c>
      <c r="EZ234">
        <v>0</v>
      </c>
      <c r="FA234">
        <v>1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2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1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1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1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1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</row>
    <row r="235" spans="2:467" hidden="1" x14ac:dyDescent="0.4">
      <c r="B235" t="str">
        <f>"9784166613861"</f>
        <v>9784166613861</v>
      </c>
      <c r="C235" t="s">
        <v>1278</v>
      </c>
      <c r="D235" t="s">
        <v>1279</v>
      </c>
      <c r="E235">
        <v>1386</v>
      </c>
      <c r="G235" t="s">
        <v>639</v>
      </c>
      <c r="H235" t="str">
        <f>"0295"</f>
        <v>0295</v>
      </c>
      <c r="I235" t="s">
        <v>481</v>
      </c>
      <c r="J235" t="s">
        <v>482</v>
      </c>
      <c r="K235" t="s">
        <v>509</v>
      </c>
      <c r="L235" s="1">
        <v>44882</v>
      </c>
      <c r="M235">
        <v>950</v>
      </c>
      <c r="N235" t="str">
        <f>"914.6"</f>
        <v>914.6</v>
      </c>
      <c r="P235">
        <v>14</v>
      </c>
      <c r="Q235">
        <v>13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1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1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1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1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1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1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1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1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1</v>
      </c>
      <c r="MU235">
        <v>0</v>
      </c>
      <c r="MV235">
        <v>2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1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1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</row>
    <row r="236" spans="2:467" x14ac:dyDescent="0.4">
      <c r="B236" t="str">
        <f>"9784480511447"</f>
        <v>9784480511447</v>
      </c>
      <c r="C236" t="s">
        <v>1287</v>
      </c>
      <c r="D236" t="s">
        <v>1288</v>
      </c>
      <c r="E236" t="s">
        <v>1289</v>
      </c>
      <c r="G236" t="s">
        <v>501</v>
      </c>
      <c r="H236" t="str">
        <f>"0122"</f>
        <v>0122</v>
      </c>
      <c r="I236" t="s">
        <v>481</v>
      </c>
      <c r="J236" t="s">
        <v>487</v>
      </c>
      <c r="K236" t="s">
        <v>579</v>
      </c>
      <c r="L236" s="1">
        <v>44879</v>
      </c>
      <c r="M236">
        <v>1600</v>
      </c>
      <c r="N236" t="str">
        <f>"209.74"</f>
        <v>209.74</v>
      </c>
      <c r="P236">
        <v>14</v>
      </c>
      <c r="Q236">
        <v>13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1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1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1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1</v>
      </c>
      <c r="DZ236">
        <v>0</v>
      </c>
      <c r="EA236">
        <v>0</v>
      </c>
      <c r="EB236">
        <v>0</v>
      </c>
      <c r="EC236">
        <v>0</v>
      </c>
      <c r="ED236">
        <v>1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2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1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1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1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1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1</v>
      </c>
      <c r="QU236">
        <v>0</v>
      </c>
      <c r="QV236">
        <v>0</v>
      </c>
      <c r="QW236">
        <v>0</v>
      </c>
      <c r="QX236">
        <v>0</v>
      </c>
      <c r="QY236">
        <v>0</v>
      </c>
    </row>
    <row r="237" spans="2:467" hidden="1" x14ac:dyDescent="0.4">
      <c r="B237" t="str">
        <f>"9784334046415"</f>
        <v>9784334046415</v>
      </c>
      <c r="C237" t="s">
        <v>1312</v>
      </c>
      <c r="D237" t="s">
        <v>1313</v>
      </c>
      <c r="E237">
        <v>1234</v>
      </c>
      <c r="G237" t="s">
        <v>676</v>
      </c>
      <c r="H237" t="str">
        <f>"0237"</f>
        <v>0237</v>
      </c>
      <c r="I237" t="s">
        <v>481</v>
      </c>
      <c r="J237" t="s">
        <v>482</v>
      </c>
      <c r="K237" t="s">
        <v>569</v>
      </c>
      <c r="L237" s="1">
        <v>44908</v>
      </c>
      <c r="M237">
        <v>1000</v>
      </c>
      <c r="N237" t="str">
        <f>"376.8"</f>
        <v>376.8</v>
      </c>
      <c r="P237">
        <v>14</v>
      </c>
      <c r="Q237">
        <v>13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1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2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1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1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1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1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1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1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1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1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1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</row>
    <row r="238" spans="2:467" hidden="1" x14ac:dyDescent="0.4">
      <c r="B238" t="str">
        <f>"9784005009602"</f>
        <v>9784005009602</v>
      </c>
      <c r="C238" t="s">
        <v>1331</v>
      </c>
      <c r="D238" t="s">
        <v>1332</v>
      </c>
      <c r="E238">
        <v>960</v>
      </c>
      <c r="G238" t="s">
        <v>521</v>
      </c>
      <c r="H238" t="str">
        <f>"0282"</f>
        <v>0282</v>
      </c>
      <c r="I238" t="s">
        <v>481</v>
      </c>
      <c r="J238" t="s">
        <v>482</v>
      </c>
      <c r="K238" t="s">
        <v>1333</v>
      </c>
      <c r="L238" s="1">
        <v>44886</v>
      </c>
      <c r="M238">
        <v>800</v>
      </c>
      <c r="N238" t="str">
        <f>"K837"</f>
        <v>K837</v>
      </c>
      <c r="P238">
        <v>14</v>
      </c>
      <c r="Q238">
        <v>13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2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1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1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1</v>
      </c>
      <c r="FY238">
        <v>1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1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1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1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1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1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1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1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1</v>
      </c>
      <c r="QU238">
        <v>0</v>
      </c>
      <c r="QV238">
        <v>0</v>
      </c>
      <c r="QW238">
        <v>0</v>
      </c>
      <c r="QX238">
        <v>0</v>
      </c>
      <c r="QY238">
        <v>0</v>
      </c>
    </row>
    <row r="239" spans="2:467" hidden="1" x14ac:dyDescent="0.4">
      <c r="B239" t="str">
        <f>"9784087212495"</f>
        <v>9784087212495</v>
      </c>
      <c r="C239" t="s">
        <v>1343</v>
      </c>
      <c r="D239" t="s">
        <v>1344</v>
      </c>
      <c r="E239" t="s">
        <v>1345</v>
      </c>
      <c r="G239" t="s">
        <v>536</v>
      </c>
      <c r="H239" t="str">
        <f>"0276"</f>
        <v>0276</v>
      </c>
      <c r="I239" t="s">
        <v>481</v>
      </c>
      <c r="J239" t="s">
        <v>482</v>
      </c>
      <c r="K239" t="s">
        <v>552</v>
      </c>
      <c r="L239" s="1">
        <v>44940</v>
      </c>
      <c r="M239">
        <v>900</v>
      </c>
      <c r="N239" t="str">
        <f>"797.9"</f>
        <v>797.9</v>
      </c>
      <c r="P239">
        <v>13</v>
      </c>
      <c r="Q239">
        <v>13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0</v>
      </c>
      <c r="Y239">
        <v>1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1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1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1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1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1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1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1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1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</row>
    <row r="240" spans="2:467" hidden="1" x14ac:dyDescent="0.4">
      <c r="B240" t="str">
        <f>"9784797281163"</f>
        <v>9784797281163</v>
      </c>
      <c r="C240" t="s">
        <v>1374</v>
      </c>
      <c r="D240" t="s">
        <v>1375</v>
      </c>
      <c r="G240" t="s">
        <v>1330</v>
      </c>
      <c r="H240" t="str">
        <f>"1231"</f>
        <v>1231</v>
      </c>
      <c r="I240" t="s">
        <v>541</v>
      </c>
      <c r="J240" t="s">
        <v>482</v>
      </c>
      <c r="K240" t="s">
        <v>502</v>
      </c>
      <c r="L240" s="1">
        <v>44896</v>
      </c>
      <c r="M240">
        <v>1200</v>
      </c>
      <c r="N240" t="str">
        <f>"333.8"</f>
        <v>333.8</v>
      </c>
      <c r="P240">
        <v>13</v>
      </c>
      <c r="Q240">
        <v>13</v>
      </c>
      <c r="R240">
        <v>0</v>
      </c>
      <c r="S240">
        <v>1</v>
      </c>
      <c r="T240">
        <v>0</v>
      </c>
      <c r="U240">
        <v>0</v>
      </c>
      <c r="V240">
        <v>0</v>
      </c>
      <c r="W240">
        <v>1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1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1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1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1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1</v>
      </c>
      <c r="JN240">
        <v>0</v>
      </c>
      <c r="JO240">
        <v>0</v>
      </c>
      <c r="JP240">
        <v>0</v>
      </c>
      <c r="JQ240">
        <v>1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1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1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1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1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1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</row>
    <row r="241" spans="2:467" x14ac:dyDescent="0.4">
      <c r="B241" t="str">
        <f>"9784167919801"</f>
        <v>9784167919801</v>
      </c>
      <c r="C241" t="s">
        <v>1413</v>
      </c>
      <c r="D241" t="s">
        <v>1414</v>
      </c>
      <c r="E241" t="s">
        <v>1415</v>
      </c>
      <c r="G241" t="s">
        <v>639</v>
      </c>
      <c r="H241" t="str">
        <f>"0193"</f>
        <v>0193</v>
      </c>
      <c r="I241" t="s">
        <v>481</v>
      </c>
      <c r="J241" t="s">
        <v>487</v>
      </c>
      <c r="K241" t="s">
        <v>488</v>
      </c>
      <c r="L241" s="1">
        <v>44930</v>
      </c>
      <c r="M241">
        <v>770</v>
      </c>
      <c r="N241" t="str">
        <f>"913.6"</f>
        <v>913.6</v>
      </c>
      <c r="P241">
        <v>13</v>
      </c>
      <c r="Q241">
        <v>13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1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1</v>
      </c>
      <c r="BR241">
        <v>0</v>
      </c>
      <c r="BS241">
        <v>1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1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1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1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1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1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1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1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1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1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1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</row>
    <row r="242" spans="2:467" hidden="1" x14ac:dyDescent="0.4">
      <c r="B242" t="str">
        <f>"9784480684431"</f>
        <v>9784480684431</v>
      </c>
      <c r="C242" t="s">
        <v>1420</v>
      </c>
      <c r="D242" t="s">
        <v>1421</v>
      </c>
      <c r="E242">
        <v>416</v>
      </c>
      <c r="G242" t="s">
        <v>501</v>
      </c>
      <c r="H242" t="str">
        <f>"0295"</f>
        <v>0295</v>
      </c>
      <c r="I242" t="s">
        <v>481</v>
      </c>
      <c r="J242" t="s">
        <v>482</v>
      </c>
      <c r="K242" t="s">
        <v>509</v>
      </c>
      <c r="L242" s="1">
        <v>44903</v>
      </c>
      <c r="M242">
        <v>840</v>
      </c>
      <c r="N242" t="str">
        <f>"914.6"</f>
        <v>914.6</v>
      </c>
      <c r="P242">
        <v>13</v>
      </c>
      <c r="Q242">
        <v>13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1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1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1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1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1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1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1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1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1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1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1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1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</row>
    <row r="243" spans="2:467" hidden="1" x14ac:dyDescent="0.4">
      <c r="B243" t="str">
        <f>"9784334046460"</f>
        <v>9784334046460</v>
      </c>
      <c r="C243" t="s">
        <v>1426</v>
      </c>
      <c r="D243" t="s">
        <v>1427</v>
      </c>
      <c r="E243">
        <v>1239</v>
      </c>
      <c r="G243" t="s">
        <v>676</v>
      </c>
      <c r="H243" t="str">
        <f>"0293"</f>
        <v>0293</v>
      </c>
      <c r="I243" t="s">
        <v>481</v>
      </c>
      <c r="J243" t="s">
        <v>482</v>
      </c>
      <c r="K243" t="s">
        <v>488</v>
      </c>
      <c r="L243" s="1">
        <v>44943</v>
      </c>
      <c r="M243">
        <v>880</v>
      </c>
      <c r="N243" t="str">
        <f>"901.3"</f>
        <v>901.3</v>
      </c>
      <c r="P243">
        <v>13</v>
      </c>
      <c r="Q243">
        <v>13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1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1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1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1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1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1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1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1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1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1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</row>
    <row r="244" spans="2:467" hidden="1" x14ac:dyDescent="0.4">
      <c r="B244" t="str">
        <f>"9784296114511"</f>
        <v>9784296114511</v>
      </c>
      <c r="C244" t="s">
        <v>1431</v>
      </c>
      <c r="D244" t="s">
        <v>1432</v>
      </c>
      <c r="E244" t="s">
        <v>1433</v>
      </c>
      <c r="G244" t="s">
        <v>956</v>
      </c>
      <c r="H244" t="str">
        <f>"1234"</f>
        <v>1234</v>
      </c>
      <c r="I244" t="s">
        <v>541</v>
      </c>
      <c r="J244" t="s">
        <v>482</v>
      </c>
      <c r="K244" t="s">
        <v>957</v>
      </c>
      <c r="L244" s="1">
        <v>44763</v>
      </c>
      <c r="M244">
        <v>900</v>
      </c>
      <c r="N244" t="str">
        <f>"336.4"</f>
        <v>336.4</v>
      </c>
      <c r="P244">
        <v>13</v>
      </c>
      <c r="Q244">
        <v>13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1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1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1</v>
      </c>
      <c r="FB244">
        <v>1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1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1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1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1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1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1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1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</row>
    <row r="245" spans="2:467" x14ac:dyDescent="0.4">
      <c r="B245" t="str">
        <f>"9784101208756"</f>
        <v>9784101208756</v>
      </c>
      <c r="C245" t="s">
        <v>855</v>
      </c>
      <c r="D245" t="s">
        <v>856</v>
      </c>
      <c r="E245" t="s">
        <v>857</v>
      </c>
      <c r="G245" t="s">
        <v>516</v>
      </c>
      <c r="H245" t="str">
        <f>"0100"</f>
        <v>0100</v>
      </c>
      <c r="I245" t="s">
        <v>481</v>
      </c>
      <c r="J245" t="s">
        <v>487</v>
      </c>
      <c r="K245" t="s">
        <v>549</v>
      </c>
      <c r="L245" s="1">
        <v>44832</v>
      </c>
      <c r="M245">
        <v>400</v>
      </c>
      <c r="N245" t="str">
        <f>""</f>
        <v/>
      </c>
      <c r="P245">
        <v>27</v>
      </c>
      <c r="Q245">
        <v>12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2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2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</v>
      </c>
      <c r="CI245">
        <v>3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1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1</v>
      </c>
      <c r="HL245">
        <v>0</v>
      </c>
      <c r="HM245">
        <v>0</v>
      </c>
      <c r="HN245">
        <v>1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1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4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8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2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1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</row>
    <row r="246" spans="2:467" hidden="1" x14ac:dyDescent="0.4">
      <c r="B246" t="str">
        <f>"9784065212950"</f>
        <v>9784065212950</v>
      </c>
      <c r="C246" t="s">
        <v>1101</v>
      </c>
      <c r="D246" t="s">
        <v>1102</v>
      </c>
      <c r="E246">
        <v>2590</v>
      </c>
      <c r="G246" t="s">
        <v>548</v>
      </c>
      <c r="H246" t="str">
        <f>"0210"</f>
        <v>0210</v>
      </c>
      <c r="I246" t="s">
        <v>481</v>
      </c>
      <c r="J246" t="s">
        <v>482</v>
      </c>
      <c r="K246" t="s">
        <v>483</v>
      </c>
      <c r="L246" s="1">
        <v>44125</v>
      </c>
      <c r="M246">
        <v>940</v>
      </c>
      <c r="N246" t="str">
        <f>"311.7"</f>
        <v>311.7</v>
      </c>
      <c r="P246">
        <v>18</v>
      </c>
      <c r="Q246">
        <v>12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5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3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1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1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1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1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1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1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1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1</v>
      </c>
      <c r="NZ246">
        <v>0</v>
      </c>
      <c r="OA246">
        <v>0</v>
      </c>
      <c r="OB246">
        <v>1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</row>
    <row r="247" spans="2:467" x14ac:dyDescent="0.4">
      <c r="B247" t="str">
        <f>"9784150505868"</f>
        <v>9784150505868</v>
      </c>
      <c r="C247" t="s">
        <v>1111</v>
      </c>
      <c r="D247" t="s">
        <v>1112</v>
      </c>
      <c r="E247" t="s">
        <v>1113</v>
      </c>
      <c r="G247" t="s">
        <v>963</v>
      </c>
      <c r="H247" t="str">
        <f>"0180"</f>
        <v>0180</v>
      </c>
      <c r="I247" t="s">
        <v>481</v>
      </c>
      <c r="J247" t="s">
        <v>487</v>
      </c>
      <c r="K247" t="s">
        <v>1114</v>
      </c>
      <c r="L247" s="1">
        <v>44609</v>
      </c>
      <c r="M247">
        <v>1180</v>
      </c>
      <c r="N247" t="str">
        <f>"801.04"</f>
        <v>801.04</v>
      </c>
      <c r="P247">
        <v>18</v>
      </c>
      <c r="Q247">
        <v>12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1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1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1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1</v>
      </c>
      <c r="HV247">
        <v>0</v>
      </c>
      <c r="HW247">
        <v>0</v>
      </c>
      <c r="HX247">
        <v>0</v>
      </c>
      <c r="HY247">
        <v>2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1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5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1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1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1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1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</row>
    <row r="248" spans="2:467" hidden="1" x14ac:dyDescent="0.4">
      <c r="B248" t="str">
        <f>"9784166613960"</f>
        <v>9784166613960</v>
      </c>
      <c r="C248" t="s">
        <v>1144</v>
      </c>
      <c r="D248" t="s">
        <v>1145</v>
      </c>
      <c r="E248">
        <v>1396</v>
      </c>
      <c r="G248" t="s">
        <v>639</v>
      </c>
      <c r="H248" t="str">
        <f>"0295"</f>
        <v>0295</v>
      </c>
      <c r="I248" t="s">
        <v>481</v>
      </c>
      <c r="J248" t="s">
        <v>482</v>
      </c>
      <c r="K248" t="s">
        <v>509</v>
      </c>
      <c r="L248" s="1">
        <v>44944</v>
      </c>
      <c r="M248">
        <v>900</v>
      </c>
      <c r="N248" t="str">
        <f>"315.1"</f>
        <v>315.1</v>
      </c>
      <c r="P248">
        <v>17</v>
      </c>
      <c r="Q248">
        <v>12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1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2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1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1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1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1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3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3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1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1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</row>
    <row r="249" spans="2:467" x14ac:dyDescent="0.4">
      <c r="B249" t="str">
        <f>"9784101017624"</f>
        <v>9784101017624</v>
      </c>
      <c r="C249" t="s">
        <v>1157</v>
      </c>
      <c r="D249" t="s">
        <v>796</v>
      </c>
      <c r="E249" t="s">
        <v>1158</v>
      </c>
      <c r="G249" t="s">
        <v>516</v>
      </c>
      <c r="H249" t="str">
        <f>"0193"</f>
        <v>0193</v>
      </c>
      <c r="I249" t="s">
        <v>481</v>
      </c>
      <c r="J249" t="s">
        <v>487</v>
      </c>
      <c r="K249" t="s">
        <v>488</v>
      </c>
      <c r="L249" s="1">
        <v>44468</v>
      </c>
      <c r="M249">
        <v>550</v>
      </c>
      <c r="N249" t="str">
        <f>"913.6"</f>
        <v>913.6</v>
      </c>
      <c r="P249">
        <v>17</v>
      </c>
      <c r="Q249">
        <v>12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1</v>
      </c>
      <c r="BF249">
        <v>0</v>
      </c>
      <c r="BG249">
        <v>0</v>
      </c>
      <c r="BH249">
        <v>0</v>
      </c>
      <c r="BI249">
        <v>1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1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2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2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1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1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3</v>
      </c>
      <c r="IM249">
        <v>0</v>
      </c>
      <c r="IN249">
        <v>1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1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1</v>
      </c>
      <c r="QP249">
        <v>0</v>
      </c>
      <c r="QQ249">
        <v>2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</row>
    <row r="250" spans="2:467" hidden="1" x14ac:dyDescent="0.4">
      <c r="B250" t="str">
        <f>"9784065295403"</f>
        <v>9784065295403</v>
      </c>
      <c r="C250" t="s">
        <v>1161</v>
      </c>
      <c r="D250" t="s">
        <v>1162</v>
      </c>
      <c r="E250">
        <v>2677</v>
      </c>
      <c r="G250" t="s">
        <v>548</v>
      </c>
      <c r="H250" t="str">
        <f>"0210"</f>
        <v>0210</v>
      </c>
      <c r="I250" t="s">
        <v>481</v>
      </c>
      <c r="J250" t="s">
        <v>482</v>
      </c>
      <c r="K250" t="s">
        <v>483</v>
      </c>
      <c r="L250" s="1">
        <v>44818</v>
      </c>
      <c r="M250">
        <v>800</v>
      </c>
      <c r="N250" t="str">
        <f>"311.234"</f>
        <v>311.234</v>
      </c>
      <c r="P250">
        <v>16</v>
      </c>
      <c r="Q250">
        <v>12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1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1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1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1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1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2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2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2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1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2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</row>
    <row r="251" spans="2:467" hidden="1" x14ac:dyDescent="0.4">
      <c r="B251" t="str">
        <f>"9784815617950"</f>
        <v>9784815617950</v>
      </c>
      <c r="C251" t="s">
        <v>1188</v>
      </c>
      <c r="D251" t="s">
        <v>1189</v>
      </c>
      <c r="E251">
        <v>602</v>
      </c>
      <c r="G251" t="s">
        <v>666</v>
      </c>
      <c r="H251" t="str">
        <f>"0247"</f>
        <v>0247</v>
      </c>
      <c r="I251" t="s">
        <v>481</v>
      </c>
      <c r="J251" t="s">
        <v>482</v>
      </c>
      <c r="K251" t="s">
        <v>670</v>
      </c>
      <c r="L251" s="1">
        <v>44902</v>
      </c>
      <c r="M251">
        <v>900</v>
      </c>
      <c r="N251" t="str">
        <f>"369.28"</f>
        <v>369.28</v>
      </c>
      <c r="P251">
        <v>16</v>
      </c>
      <c r="Q251">
        <v>12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0</v>
      </c>
      <c r="AE251">
        <v>1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2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1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1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1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1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2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3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1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1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1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</row>
    <row r="252" spans="2:467" x14ac:dyDescent="0.4">
      <c r="B252" t="str">
        <f>"9784102122044"</f>
        <v>9784102122044</v>
      </c>
      <c r="C252" t="s">
        <v>1207</v>
      </c>
      <c r="D252" t="s">
        <v>1208</v>
      </c>
      <c r="E252" t="s">
        <v>1209</v>
      </c>
      <c r="G252" t="s">
        <v>516</v>
      </c>
      <c r="H252" t="str">
        <f>"0197"</f>
        <v>0197</v>
      </c>
      <c r="I252" t="s">
        <v>481</v>
      </c>
      <c r="J252" t="s">
        <v>487</v>
      </c>
      <c r="K252" t="s">
        <v>564</v>
      </c>
      <c r="L252" s="1">
        <v>38808</v>
      </c>
      <c r="M252">
        <v>480</v>
      </c>
      <c r="N252" t="str">
        <f>"953"</f>
        <v>953</v>
      </c>
      <c r="P252">
        <v>16</v>
      </c>
      <c r="Q252">
        <v>12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1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2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1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1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1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2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2</v>
      </c>
      <c r="ON252">
        <v>0</v>
      </c>
      <c r="OO252">
        <v>2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1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1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1</v>
      </c>
      <c r="QY252">
        <v>0</v>
      </c>
    </row>
    <row r="253" spans="2:467" x14ac:dyDescent="0.4">
      <c r="B253" t="str">
        <f>"9784006004552"</f>
        <v>9784006004552</v>
      </c>
      <c r="C253" t="s">
        <v>1224</v>
      </c>
      <c r="D253" t="s">
        <v>1225</v>
      </c>
      <c r="E253" t="s">
        <v>1226</v>
      </c>
      <c r="G253" t="s">
        <v>521</v>
      </c>
      <c r="H253" t="str">
        <f>"0142"</f>
        <v>0142</v>
      </c>
      <c r="I253" t="s">
        <v>481</v>
      </c>
      <c r="J253" t="s">
        <v>487</v>
      </c>
      <c r="K253" t="s">
        <v>545</v>
      </c>
      <c r="L253" s="1">
        <v>44849</v>
      </c>
      <c r="M253">
        <v>1480</v>
      </c>
      <c r="N253" t="str">
        <f>"429"</f>
        <v>429</v>
      </c>
      <c r="P253">
        <v>15</v>
      </c>
      <c r="Q253">
        <v>12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2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2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1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1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1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1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2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1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1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</row>
    <row r="254" spans="2:467" hidden="1" x14ac:dyDescent="0.4">
      <c r="B254" t="str">
        <f>"9784121027283"</f>
        <v>9784121027283</v>
      </c>
      <c r="C254" t="s">
        <v>1227</v>
      </c>
      <c r="D254" t="s">
        <v>1228</v>
      </c>
      <c r="E254">
        <v>2728</v>
      </c>
      <c r="G254" t="s">
        <v>540</v>
      </c>
      <c r="H254" t="str">
        <f>"1222"</f>
        <v>1222</v>
      </c>
      <c r="I254" t="s">
        <v>541</v>
      </c>
      <c r="J254" t="s">
        <v>482</v>
      </c>
      <c r="K254" t="s">
        <v>579</v>
      </c>
      <c r="L254" s="1">
        <v>44883</v>
      </c>
      <c r="M254">
        <v>900</v>
      </c>
      <c r="N254" t="str">
        <f>"399.2"</f>
        <v>399.2</v>
      </c>
      <c r="P254">
        <v>15</v>
      </c>
      <c r="Q254">
        <v>12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4</v>
      </c>
      <c r="CI254">
        <v>1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1</v>
      </c>
      <c r="CR254">
        <v>0</v>
      </c>
      <c r="CS254">
        <v>1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1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1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1</v>
      </c>
      <c r="JR254">
        <v>0</v>
      </c>
      <c r="JS254">
        <v>0</v>
      </c>
      <c r="JT254">
        <v>0</v>
      </c>
      <c r="JU254">
        <v>1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1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1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1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1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</row>
    <row r="255" spans="2:467" x14ac:dyDescent="0.4">
      <c r="B255" t="str">
        <f>"9784062748704"</f>
        <v>9784062748704</v>
      </c>
      <c r="C255" t="s">
        <v>1237</v>
      </c>
      <c r="D255" t="s">
        <v>1071</v>
      </c>
      <c r="E255" t="s">
        <v>1238</v>
      </c>
      <c r="G255" t="s">
        <v>548</v>
      </c>
      <c r="H255" t="str">
        <f>"0193"</f>
        <v>0193</v>
      </c>
      <c r="I255" t="s">
        <v>481</v>
      </c>
      <c r="J255" t="s">
        <v>487</v>
      </c>
      <c r="K255" t="s">
        <v>488</v>
      </c>
      <c r="L255" s="1">
        <v>38231</v>
      </c>
      <c r="M255">
        <v>540</v>
      </c>
      <c r="N255" t="str">
        <f>""</f>
        <v/>
      </c>
      <c r="P255">
        <v>15</v>
      </c>
      <c r="Q255">
        <v>12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1</v>
      </c>
      <c r="CI255">
        <v>2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1</v>
      </c>
      <c r="CR255">
        <v>0</v>
      </c>
      <c r="CS255">
        <v>1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1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2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1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1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1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2</v>
      </c>
      <c r="JN255">
        <v>0</v>
      </c>
      <c r="JO255">
        <v>0</v>
      </c>
      <c r="JP255">
        <v>0</v>
      </c>
      <c r="JQ255">
        <v>1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</row>
    <row r="256" spans="2:467" x14ac:dyDescent="0.4">
      <c r="B256" t="str">
        <f>"9784065258910"</f>
        <v>9784065258910</v>
      </c>
      <c r="C256" t="s">
        <v>1240</v>
      </c>
      <c r="D256" t="s">
        <v>496</v>
      </c>
      <c r="E256" t="s">
        <v>1241</v>
      </c>
      <c r="G256" t="s">
        <v>548</v>
      </c>
      <c r="H256" t="str">
        <f>"0193"</f>
        <v>0193</v>
      </c>
      <c r="I256" t="s">
        <v>481</v>
      </c>
      <c r="J256" t="s">
        <v>487</v>
      </c>
      <c r="K256" t="s">
        <v>488</v>
      </c>
      <c r="L256" s="1">
        <v>44484</v>
      </c>
      <c r="M256">
        <v>640</v>
      </c>
      <c r="N256" t="str">
        <f>"913.6"</f>
        <v>913.6</v>
      </c>
      <c r="P256">
        <v>15</v>
      </c>
      <c r="Q256">
        <v>12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1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1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2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2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1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1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1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1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2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1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1</v>
      </c>
      <c r="QT256">
        <v>0</v>
      </c>
      <c r="QU256">
        <v>0</v>
      </c>
      <c r="QV256">
        <v>0</v>
      </c>
      <c r="QW256">
        <v>0</v>
      </c>
      <c r="QX256">
        <v>1</v>
      </c>
      <c r="QY256">
        <v>0</v>
      </c>
    </row>
    <row r="257" spans="2:467" hidden="1" x14ac:dyDescent="0.4">
      <c r="B257" t="str">
        <f>"9784065301739"</f>
        <v>9784065301739</v>
      </c>
      <c r="C257" t="s">
        <v>1250</v>
      </c>
      <c r="D257" t="s">
        <v>1251</v>
      </c>
      <c r="E257" t="s">
        <v>1252</v>
      </c>
      <c r="G257" t="s">
        <v>548</v>
      </c>
      <c r="H257" t="str">
        <f>"0295"</f>
        <v>0295</v>
      </c>
      <c r="I257" t="s">
        <v>481</v>
      </c>
      <c r="J257" t="s">
        <v>482</v>
      </c>
      <c r="K257" t="s">
        <v>509</v>
      </c>
      <c r="L257" s="1">
        <v>44882</v>
      </c>
      <c r="M257">
        <v>900</v>
      </c>
      <c r="N257" t="str">
        <f>"611.3"</f>
        <v>611.3</v>
      </c>
      <c r="P257">
        <v>15</v>
      </c>
      <c r="Q257">
        <v>12</v>
      </c>
      <c r="R257">
        <v>0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1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2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1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1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2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1</v>
      </c>
      <c r="KG257">
        <v>1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2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1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1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1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</row>
    <row r="258" spans="2:467" x14ac:dyDescent="0.4">
      <c r="B258" t="str">
        <f>"9784167914639"</f>
        <v>9784167914639</v>
      </c>
      <c r="C258" t="s">
        <v>1255</v>
      </c>
      <c r="D258" t="s">
        <v>554</v>
      </c>
      <c r="E258" t="s">
        <v>1256</v>
      </c>
      <c r="G258" t="s">
        <v>639</v>
      </c>
      <c r="H258" t="str">
        <f>"0195"</f>
        <v>0195</v>
      </c>
      <c r="I258" t="s">
        <v>481</v>
      </c>
      <c r="J258" t="s">
        <v>487</v>
      </c>
      <c r="K258" t="s">
        <v>509</v>
      </c>
      <c r="L258" s="1">
        <v>43900</v>
      </c>
      <c r="M258">
        <v>700</v>
      </c>
      <c r="N258" t="str">
        <f>"002.04"</f>
        <v>002.04</v>
      </c>
      <c r="P258">
        <v>15</v>
      </c>
      <c r="Q258">
        <v>12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2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1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1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1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2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1</v>
      </c>
      <c r="JN258">
        <v>0</v>
      </c>
      <c r="JO258">
        <v>1</v>
      </c>
      <c r="JP258">
        <v>0</v>
      </c>
      <c r="JQ258">
        <v>2</v>
      </c>
      <c r="JR258">
        <v>1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1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1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1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</row>
    <row r="259" spans="2:467" hidden="1" x14ac:dyDescent="0.4">
      <c r="B259" t="str">
        <f>"9784004319177"</f>
        <v>9784004319177</v>
      </c>
      <c r="C259" t="s">
        <v>1257</v>
      </c>
      <c r="D259" t="s">
        <v>1258</v>
      </c>
      <c r="E259" t="s">
        <v>1259</v>
      </c>
      <c r="G259" t="s">
        <v>521</v>
      </c>
      <c r="H259" t="str">
        <f>"0220"</f>
        <v>0220</v>
      </c>
      <c r="I259" t="s">
        <v>481</v>
      </c>
      <c r="J259" t="s">
        <v>482</v>
      </c>
      <c r="K259" t="s">
        <v>1013</v>
      </c>
      <c r="L259" s="1">
        <v>44639</v>
      </c>
      <c r="M259">
        <v>1160</v>
      </c>
      <c r="N259" t="str">
        <f>"209.5"</f>
        <v>209.5</v>
      </c>
      <c r="P259">
        <v>15</v>
      </c>
      <c r="Q259">
        <v>12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1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1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1</v>
      </c>
      <c r="CD259">
        <v>0</v>
      </c>
      <c r="CE259">
        <v>0</v>
      </c>
      <c r="CF259">
        <v>0</v>
      </c>
      <c r="CG259">
        <v>0</v>
      </c>
      <c r="CH259">
        <v>2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2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1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1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1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1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1</v>
      </c>
      <c r="JG259">
        <v>0</v>
      </c>
      <c r="JH259">
        <v>0</v>
      </c>
      <c r="JI259">
        <v>0</v>
      </c>
      <c r="JJ259">
        <v>2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1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</row>
    <row r="260" spans="2:467" hidden="1" x14ac:dyDescent="0.4">
      <c r="B260" t="str">
        <f>"9784022952042"</f>
        <v>9784022952042</v>
      </c>
      <c r="C260" t="s">
        <v>1270</v>
      </c>
      <c r="D260" t="s">
        <v>1271</v>
      </c>
      <c r="E260">
        <v>894</v>
      </c>
      <c r="G260" t="s">
        <v>498</v>
      </c>
      <c r="H260" t="str">
        <f>"0236"</f>
        <v>0236</v>
      </c>
      <c r="I260" t="s">
        <v>481</v>
      </c>
      <c r="J260" t="s">
        <v>482</v>
      </c>
      <c r="K260" t="s">
        <v>505</v>
      </c>
      <c r="L260" s="1">
        <v>44939</v>
      </c>
      <c r="M260">
        <v>810</v>
      </c>
      <c r="N260" t="str">
        <f>"365.35"</f>
        <v>365.35</v>
      </c>
      <c r="P260">
        <v>14</v>
      </c>
      <c r="Q260">
        <v>12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1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2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1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2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1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1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1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1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1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1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</row>
    <row r="261" spans="2:467" x14ac:dyDescent="0.4">
      <c r="B261" t="str">
        <f>"9784479320432"</f>
        <v>9784479320432</v>
      </c>
      <c r="C261" t="s">
        <v>1293</v>
      </c>
      <c r="D261" t="s">
        <v>1294</v>
      </c>
      <c r="E261" t="s">
        <v>1295</v>
      </c>
      <c r="G261" t="s">
        <v>1061</v>
      </c>
      <c r="H261" t="str">
        <f>"0195"</f>
        <v>0195</v>
      </c>
      <c r="I261" t="s">
        <v>481</v>
      </c>
      <c r="J261" t="s">
        <v>487</v>
      </c>
      <c r="K261" t="s">
        <v>509</v>
      </c>
      <c r="L261" s="1">
        <v>44937</v>
      </c>
      <c r="M261">
        <v>900</v>
      </c>
      <c r="N261" t="str">
        <f>"814"</f>
        <v>814</v>
      </c>
      <c r="P261">
        <v>14</v>
      </c>
      <c r="Q261">
        <v>12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1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1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1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1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1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2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1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1</v>
      </c>
      <c r="IW261">
        <v>0</v>
      </c>
      <c r="IX261">
        <v>0</v>
      </c>
      <c r="IY261">
        <v>2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1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1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</row>
    <row r="262" spans="2:467" hidden="1" x14ac:dyDescent="0.4">
      <c r="B262" t="str">
        <f>"9784797281606"</f>
        <v>9784797281606</v>
      </c>
      <c r="C262" t="s">
        <v>1328</v>
      </c>
      <c r="D262" t="s">
        <v>1329</v>
      </c>
      <c r="G262" t="s">
        <v>1330</v>
      </c>
      <c r="H262" t="str">
        <f>"3231"</f>
        <v>3231</v>
      </c>
      <c r="I262" t="s">
        <v>761</v>
      </c>
      <c r="J262" t="s">
        <v>482</v>
      </c>
      <c r="K262" t="s">
        <v>502</v>
      </c>
      <c r="L262" s="1">
        <v>44834</v>
      </c>
      <c r="M262">
        <v>1200</v>
      </c>
      <c r="N262" t="str">
        <f>"319.380"</f>
        <v>319.380</v>
      </c>
      <c r="P262">
        <v>14</v>
      </c>
      <c r="Q262">
        <v>12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1</v>
      </c>
      <c r="BF262">
        <v>0</v>
      </c>
      <c r="BG262">
        <v>1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3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1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1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1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1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1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1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1</v>
      </c>
      <c r="PJ262">
        <v>0</v>
      </c>
      <c r="PK262">
        <v>1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</row>
    <row r="263" spans="2:467" hidden="1" x14ac:dyDescent="0.4">
      <c r="B263" t="str">
        <f>"9784065300695"</f>
        <v>9784065300695</v>
      </c>
      <c r="C263" t="s">
        <v>1351</v>
      </c>
      <c r="D263" t="s">
        <v>1352</v>
      </c>
      <c r="E263">
        <v>2687</v>
      </c>
      <c r="G263" t="s">
        <v>548</v>
      </c>
      <c r="H263" t="str">
        <f>"0211"</f>
        <v>0211</v>
      </c>
      <c r="I263" t="s">
        <v>481</v>
      </c>
      <c r="J263" t="s">
        <v>482</v>
      </c>
      <c r="K263" t="s">
        <v>610</v>
      </c>
      <c r="L263" s="1">
        <v>44881</v>
      </c>
      <c r="M263">
        <v>800</v>
      </c>
      <c r="N263" t="str">
        <f>"146.1"</f>
        <v>146.1</v>
      </c>
      <c r="P263">
        <v>13</v>
      </c>
      <c r="Q263">
        <v>12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1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1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1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1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1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1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1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2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1</v>
      </c>
      <c r="OT263">
        <v>1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1</v>
      </c>
    </row>
    <row r="264" spans="2:467" x14ac:dyDescent="0.4">
      <c r="B264" t="str">
        <f>"9784087455489"</f>
        <v>9784087455489</v>
      </c>
      <c r="C264" t="s">
        <v>1361</v>
      </c>
      <c r="D264" t="s">
        <v>1362</v>
      </c>
      <c r="E264" t="s">
        <v>1363</v>
      </c>
      <c r="G264" t="s">
        <v>536</v>
      </c>
      <c r="H264" t="str">
        <f>"0193"</f>
        <v>0193</v>
      </c>
      <c r="I264" t="s">
        <v>481</v>
      </c>
      <c r="J264" t="s">
        <v>487</v>
      </c>
      <c r="K264" t="s">
        <v>488</v>
      </c>
      <c r="L264" s="1">
        <v>42783</v>
      </c>
      <c r="M264">
        <v>600</v>
      </c>
      <c r="N264" t="str">
        <f>"913.6"</f>
        <v>913.6</v>
      </c>
      <c r="P264">
        <v>13</v>
      </c>
      <c r="Q264">
        <v>12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1</v>
      </c>
      <c r="BM264">
        <v>2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1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1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1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1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1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1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1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1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</row>
    <row r="265" spans="2:467" x14ac:dyDescent="0.4">
      <c r="B265" t="str">
        <f>"9784102071014"</f>
        <v>9784102071014</v>
      </c>
      <c r="C265" t="s">
        <v>1369</v>
      </c>
      <c r="D265" t="s">
        <v>1370</v>
      </c>
      <c r="E265" t="s">
        <v>1371</v>
      </c>
      <c r="G265" t="s">
        <v>516</v>
      </c>
      <c r="H265" t="str">
        <f>"0197"</f>
        <v>0197</v>
      </c>
      <c r="I265" t="s">
        <v>481</v>
      </c>
      <c r="J265" t="s">
        <v>487</v>
      </c>
      <c r="K265" t="s">
        <v>564</v>
      </c>
      <c r="L265" s="1">
        <v>40634</v>
      </c>
      <c r="M265">
        <v>400</v>
      </c>
      <c r="N265" t="str">
        <f>"943"</f>
        <v>943</v>
      </c>
      <c r="P265">
        <v>13</v>
      </c>
      <c r="Q265">
        <v>12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1</v>
      </c>
      <c r="BE265">
        <v>0</v>
      </c>
      <c r="BF265">
        <v>0</v>
      </c>
      <c r="BG265">
        <v>1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1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2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1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1</v>
      </c>
      <c r="LP265">
        <v>1</v>
      </c>
      <c r="LQ265">
        <v>0</v>
      </c>
      <c r="LR265">
        <v>0</v>
      </c>
      <c r="LS265">
        <v>1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1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1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1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</row>
    <row r="266" spans="2:467" x14ac:dyDescent="0.4">
      <c r="B266" t="str">
        <f>"9784309467597"</f>
        <v>9784309467597</v>
      </c>
      <c r="C266" t="s">
        <v>1376</v>
      </c>
      <c r="D266" t="s">
        <v>1377</v>
      </c>
      <c r="E266" t="s">
        <v>1378</v>
      </c>
      <c r="G266" t="s">
        <v>1143</v>
      </c>
      <c r="H266" t="str">
        <f>"0122"</f>
        <v>0122</v>
      </c>
      <c r="I266" t="s">
        <v>481</v>
      </c>
      <c r="J266" t="s">
        <v>487</v>
      </c>
      <c r="K266" t="s">
        <v>579</v>
      </c>
      <c r="L266" s="1">
        <v>44817</v>
      </c>
      <c r="M266">
        <v>900</v>
      </c>
      <c r="N266" t="str">
        <f>"469"</f>
        <v>469</v>
      </c>
      <c r="P266">
        <v>13</v>
      </c>
      <c r="Q266">
        <v>12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1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1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1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2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1</v>
      </c>
      <c r="JN266">
        <v>1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1</v>
      </c>
      <c r="MM266">
        <v>0</v>
      </c>
      <c r="MN266">
        <v>1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1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1</v>
      </c>
      <c r="QY266">
        <v>0</v>
      </c>
    </row>
    <row r="267" spans="2:467" x14ac:dyDescent="0.4">
      <c r="B267" t="str">
        <f>"9784167919528"</f>
        <v>9784167919528</v>
      </c>
      <c r="C267" t="s">
        <v>1381</v>
      </c>
      <c r="D267" t="s">
        <v>1071</v>
      </c>
      <c r="E267" t="s">
        <v>1382</v>
      </c>
      <c r="G267" t="s">
        <v>639</v>
      </c>
      <c r="H267" t="str">
        <f>"0195"</f>
        <v>0195</v>
      </c>
      <c r="I267" t="s">
        <v>481</v>
      </c>
      <c r="J267" t="s">
        <v>487</v>
      </c>
      <c r="K267" t="s">
        <v>509</v>
      </c>
      <c r="L267" s="1">
        <v>44873</v>
      </c>
      <c r="M267">
        <v>660</v>
      </c>
      <c r="N267" t="str">
        <f>"914.6"</f>
        <v>914.6</v>
      </c>
      <c r="P267">
        <v>13</v>
      </c>
      <c r="Q267">
        <v>12</v>
      </c>
      <c r="R267">
        <v>0</v>
      </c>
      <c r="S267">
        <v>0</v>
      </c>
      <c r="T267">
        <v>1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1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1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1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2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1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1</v>
      </c>
      <c r="JM267">
        <v>0</v>
      </c>
      <c r="JN267">
        <v>0</v>
      </c>
      <c r="JO267">
        <v>0</v>
      </c>
      <c r="JP267">
        <v>0</v>
      </c>
      <c r="JQ267">
        <v>1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1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1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</row>
    <row r="268" spans="2:467" hidden="1" x14ac:dyDescent="0.4">
      <c r="B268" t="str">
        <f>"9784334046439"</f>
        <v>9784334046439</v>
      </c>
      <c r="C268" t="s">
        <v>1383</v>
      </c>
      <c r="D268" t="s">
        <v>1384</v>
      </c>
      <c r="E268">
        <v>1236</v>
      </c>
      <c r="G268" t="s">
        <v>676</v>
      </c>
      <c r="H268" t="str">
        <f>"0247"</f>
        <v>0247</v>
      </c>
      <c r="I268" t="s">
        <v>481</v>
      </c>
      <c r="J268" t="s">
        <v>482</v>
      </c>
      <c r="K268" t="s">
        <v>670</v>
      </c>
      <c r="L268" s="1">
        <v>44908</v>
      </c>
      <c r="M268">
        <v>880</v>
      </c>
      <c r="N268" t="str">
        <f>"498.5"</f>
        <v>498.5</v>
      </c>
      <c r="P268">
        <v>13</v>
      </c>
      <c r="Q268">
        <v>12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1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1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2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1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1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1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1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1</v>
      </c>
      <c r="IV268">
        <v>0</v>
      </c>
      <c r="IW268">
        <v>0</v>
      </c>
      <c r="IX268">
        <v>0</v>
      </c>
      <c r="IY268">
        <v>1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1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1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</row>
    <row r="269" spans="2:467" hidden="1" x14ac:dyDescent="0.4">
      <c r="B269" t="str">
        <f>"9784396116705"</f>
        <v>9784396116705</v>
      </c>
      <c r="C269" t="s">
        <v>1385</v>
      </c>
      <c r="D269" t="s">
        <v>1386</v>
      </c>
      <c r="E269">
        <v>670</v>
      </c>
      <c r="G269" t="s">
        <v>1387</v>
      </c>
      <c r="H269" t="str">
        <f>"0211"</f>
        <v>0211</v>
      </c>
      <c r="I269" t="s">
        <v>481</v>
      </c>
      <c r="J269" t="s">
        <v>482</v>
      </c>
      <c r="K269" t="s">
        <v>610</v>
      </c>
      <c r="L269" s="1">
        <v>44921</v>
      </c>
      <c r="M269">
        <v>930</v>
      </c>
      <c r="N269" t="str">
        <f>"145.7"</f>
        <v>145.7</v>
      </c>
      <c r="P269">
        <v>13</v>
      </c>
      <c r="Q269">
        <v>12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1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1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1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1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1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1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2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1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1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1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1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</row>
    <row r="270" spans="2:467" x14ac:dyDescent="0.4">
      <c r="B270" t="str">
        <f>"9784101044316"</f>
        <v>9784101044316</v>
      </c>
      <c r="C270" t="s">
        <v>1399</v>
      </c>
      <c r="D270" t="s">
        <v>1400</v>
      </c>
      <c r="E270" t="s">
        <v>1401</v>
      </c>
      <c r="G270" t="s">
        <v>516</v>
      </c>
      <c r="H270" t="str">
        <f>"0193"</f>
        <v>0193</v>
      </c>
      <c r="I270" t="s">
        <v>481</v>
      </c>
      <c r="J270" t="s">
        <v>487</v>
      </c>
      <c r="K270" t="s">
        <v>488</v>
      </c>
      <c r="L270" s="1">
        <v>44918</v>
      </c>
      <c r="M270">
        <v>550</v>
      </c>
      <c r="N270" t="str">
        <f>"913.6"</f>
        <v>913.6</v>
      </c>
      <c r="P270">
        <v>13</v>
      </c>
      <c r="Q270">
        <v>12</v>
      </c>
      <c r="R270">
        <v>0</v>
      </c>
      <c r="S270">
        <v>0</v>
      </c>
      <c r="T270">
        <v>1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1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1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1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2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1</v>
      </c>
      <c r="JN270">
        <v>0</v>
      </c>
      <c r="JO270">
        <v>0</v>
      </c>
      <c r="JP270">
        <v>0</v>
      </c>
      <c r="JQ270">
        <v>1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1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1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1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1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</row>
    <row r="271" spans="2:467" x14ac:dyDescent="0.4">
      <c r="B271" t="str">
        <f>"9784006004583"</f>
        <v>9784006004583</v>
      </c>
      <c r="C271" t="s">
        <v>1405</v>
      </c>
      <c r="D271" t="s">
        <v>1406</v>
      </c>
      <c r="E271" t="s">
        <v>1407</v>
      </c>
      <c r="G271" t="s">
        <v>521</v>
      </c>
      <c r="H271" t="str">
        <f>"0131"</f>
        <v>0131</v>
      </c>
      <c r="I271" t="s">
        <v>481</v>
      </c>
      <c r="J271" t="s">
        <v>487</v>
      </c>
      <c r="K271" t="s">
        <v>502</v>
      </c>
      <c r="L271" s="1">
        <v>44911</v>
      </c>
      <c r="M271">
        <v>1680</v>
      </c>
      <c r="N271" t="str">
        <f>"319.02"</f>
        <v>319.02</v>
      </c>
      <c r="P271">
        <v>13</v>
      </c>
      <c r="Q271">
        <v>12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1</v>
      </c>
      <c r="BM271">
        <v>1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2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1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1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1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1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1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1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1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1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1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</row>
    <row r="272" spans="2:467" x14ac:dyDescent="0.4">
      <c r="B272" t="str">
        <f>"9784575521252"</f>
        <v>9784575521252</v>
      </c>
      <c r="C272" t="s">
        <v>1411</v>
      </c>
      <c r="D272" t="s">
        <v>828</v>
      </c>
      <c r="E272" t="s">
        <v>1412</v>
      </c>
      <c r="G272" t="s">
        <v>807</v>
      </c>
      <c r="H272" t="str">
        <f>"0193"</f>
        <v>0193</v>
      </c>
      <c r="I272" t="s">
        <v>481</v>
      </c>
      <c r="J272" t="s">
        <v>487</v>
      </c>
      <c r="K272" t="s">
        <v>488</v>
      </c>
      <c r="L272" s="1">
        <v>43293</v>
      </c>
      <c r="M272">
        <v>657</v>
      </c>
      <c r="N272" t="str">
        <f>"913.6"</f>
        <v>913.6</v>
      </c>
      <c r="P272">
        <v>13</v>
      </c>
      <c r="Q272">
        <v>12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1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1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1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2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1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1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1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1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1</v>
      </c>
      <c r="NZ272">
        <v>0</v>
      </c>
      <c r="OA272">
        <v>0</v>
      </c>
      <c r="OB272">
        <v>0</v>
      </c>
      <c r="OC272">
        <v>0</v>
      </c>
      <c r="OD272">
        <v>1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1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1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</row>
    <row r="273" spans="2:467" x14ac:dyDescent="0.4">
      <c r="B273" t="str">
        <f>"9784480511454"</f>
        <v>9784480511454</v>
      </c>
      <c r="C273" t="s">
        <v>1416</v>
      </c>
      <c r="D273" t="s">
        <v>1288</v>
      </c>
      <c r="E273" t="s">
        <v>1417</v>
      </c>
      <c r="G273" t="s">
        <v>501</v>
      </c>
      <c r="H273" t="str">
        <f>"0122"</f>
        <v>0122</v>
      </c>
      <c r="I273" t="s">
        <v>481</v>
      </c>
      <c r="J273" t="s">
        <v>487</v>
      </c>
      <c r="K273" t="s">
        <v>579</v>
      </c>
      <c r="L273" s="1">
        <v>44879</v>
      </c>
      <c r="M273">
        <v>1600</v>
      </c>
      <c r="N273" t="str">
        <f>"209.74"</f>
        <v>209.74</v>
      </c>
      <c r="P273">
        <v>13</v>
      </c>
      <c r="Q273">
        <v>12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1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1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1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1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2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1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1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1</v>
      </c>
      <c r="JN273">
        <v>0</v>
      </c>
      <c r="JO273">
        <v>0</v>
      </c>
      <c r="JP273">
        <v>0</v>
      </c>
      <c r="JQ273">
        <v>1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1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1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1</v>
      </c>
      <c r="QU273">
        <v>0</v>
      </c>
      <c r="QV273">
        <v>0</v>
      </c>
      <c r="QW273">
        <v>0</v>
      </c>
      <c r="QX273">
        <v>0</v>
      </c>
      <c r="QY273">
        <v>0</v>
      </c>
    </row>
    <row r="274" spans="2:467" x14ac:dyDescent="0.4">
      <c r="B274" t="str">
        <f>"9784480438508"</f>
        <v>9784480438508</v>
      </c>
      <c r="C274" t="s">
        <v>1453</v>
      </c>
      <c r="D274" t="s">
        <v>1454</v>
      </c>
      <c r="E274" t="s">
        <v>1455</v>
      </c>
      <c r="G274" t="s">
        <v>501</v>
      </c>
      <c r="H274" t="str">
        <f>"0197"</f>
        <v>0197</v>
      </c>
      <c r="I274" t="s">
        <v>481</v>
      </c>
      <c r="J274" t="s">
        <v>487</v>
      </c>
      <c r="K274" t="s">
        <v>564</v>
      </c>
      <c r="L274" s="1">
        <v>44904</v>
      </c>
      <c r="M274">
        <v>1000</v>
      </c>
      <c r="N274" t="str">
        <f>"933"</f>
        <v>933</v>
      </c>
      <c r="P274">
        <v>12</v>
      </c>
      <c r="Q274">
        <v>12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1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1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1</v>
      </c>
      <c r="CI274">
        <v>1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1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1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1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1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1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1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1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1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</row>
    <row r="275" spans="2:467" hidden="1" x14ac:dyDescent="0.4">
      <c r="B275" t="str">
        <f>"9784797681147"</f>
        <v>9784797681147</v>
      </c>
      <c r="C275" t="s">
        <v>1463</v>
      </c>
      <c r="D275" t="s">
        <v>1464</v>
      </c>
      <c r="E275">
        <v>114</v>
      </c>
      <c r="G275" t="s">
        <v>1150</v>
      </c>
      <c r="H275" t="str">
        <f>"0233"</f>
        <v>0233</v>
      </c>
      <c r="I275" t="s">
        <v>481</v>
      </c>
      <c r="J275" t="s">
        <v>482</v>
      </c>
      <c r="K275" t="s">
        <v>537</v>
      </c>
      <c r="L275" s="1">
        <v>44902</v>
      </c>
      <c r="M275">
        <v>880</v>
      </c>
      <c r="N275" t="str">
        <f>"331.74"</f>
        <v>331.74</v>
      </c>
      <c r="P275">
        <v>12</v>
      </c>
      <c r="Q275">
        <v>12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1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1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1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1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1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1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1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1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1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</row>
    <row r="276" spans="2:467" hidden="1" x14ac:dyDescent="0.4">
      <c r="B276" t="str">
        <f>"9784315526301"</f>
        <v>9784315526301</v>
      </c>
      <c r="C276" t="s">
        <v>1470</v>
      </c>
      <c r="D276" t="s">
        <v>1471</v>
      </c>
      <c r="G276" t="s">
        <v>1199</v>
      </c>
      <c r="H276" t="str">
        <f>"0211"</f>
        <v>0211</v>
      </c>
      <c r="I276" t="s">
        <v>481</v>
      </c>
      <c r="J276" t="s">
        <v>482</v>
      </c>
      <c r="K276" t="s">
        <v>610</v>
      </c>
      <c r="L276" s="1">
        <v>44860</v>
      </c>
      <c r="M276">
        <v>1200</v>
      </c>
      <c r="N276" t="str">
        <f>"141.4"</f>
        <v>141.4</v>
      </c>
      <c r="P276">
        <v>12</v>
      </c>
      <c r="Q276">
        <v>12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1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1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1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1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1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1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1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1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1</v>
      </c>
      <c r="QU276">
        <v>0</v>
      </c>
      <c r="QV276">
        <v>0</v>
      </c>
      <c r="QW276">
        <v>0</v>
      </c>
      <c r="QX276">
        <v>0</v>
      </c>
      <c r="QY276">
        <v>0</v>
      </c>
    </row>
    <row r="277" spans="2:467" x14ac:dyDescent="0.4">
      <c r="B277" t="str">
        <f>"9784150119553"</f>
        <v>9784150119553</v>
      </c>
      <c r="C277" t="s">
        <v>1474</v>
      </c>
      <c r="D277" t="s">
        <v>1475</v>
      </c>
      <c r="E277" t="s">
        <v>1476</v>
      </c>
      <c r="G277" t="s">
        <v>963</v>
      </c>
      <c r="H277" t="str">
        <f>"0197"</f>
        <v>0197</v>
      </c>
      <c r="I277" t="s">
        <v>481</v>
      </c>
      <c r="J277" t="s">
        <v>487</v>
      </c>
      <c r="K277" t="s">
        <v>564</v>
      </c>
      <c r="L277" s="1">
        <v>41817</v>
      </c>
      <c r="M277">
        <v>860</v>
      </c>
      <c r="N277" t="str">
        <f>"933"</f>
        <v>933</v>
      </c>
      <c r="P277">
        <v>12</v>
      </c>
      <c r="Q277">
        <v>12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1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1</v>
      </c>
      <c r="CI277">
        <v>1</v>
      </c>
      <c r="CJ277">
        <v>0</v>
      </c>
      <c r="CK277">
        <v>0</v>
      </c>
      <c r="CL277">
        <v>1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1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1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1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1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1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1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1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</row>
    <row r="278" spans="2:467" x14ac:dyDescent="0.4">
      <c r="B278" t="str">
        <f>"9784167918057"</f>
        <v>9784167918057</v>
      </c>
      <c r="C278" t="s">
        <v>1497</v>
      </c>
      <c r="D278" t="s">
        <v>1498</v>
      </c>
      <c r="E278" t="s">
        <v>1499</v>
      </c>
      <c r="G278" t="s">
        <v>639</v>
      </c>
      <c r="H278" t="str">
        <f>"0195"</f>
        <v>0195</v>
      </c>
      <c r="I278" t="s">
        <v>481</v>
      </c>
      <c r="J278" t="s">
        <v>487</v>
      </c>
      <c r="K278" t="s">
        <v>509</v>
      </c>
      <c r="L278" s="1">
        <v>44537</v>
      </c>
      <c r="M278">
        <v>690</v>
      </c>
      <c r="N278" t="str">
        <f>"779.14"</f>
        <v>779.14</v>
      </c>
      <c r="P278">
        <v>12</v>
      </c>
      <c r="Q278">
        <v>12</v>
      </c>
      <c r="R278">
        <v>0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1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1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1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1</v>
      </c>
      <c r="JO278">
        <v>0</v>
      </c>
      <c r="JP278">
        <v>0</v>
      </c>
      <c r="JQ278">
        <v>0</v>
      </c>
      <c r="JR278">
        <v>1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1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1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1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1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1</v>
      </c>
      <c r="NZ278">
        <v>0</v>
      </c>
      <c r="OA278">
        <v>0</v>
      </c>
      <c r="OB278">
        <v>0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</row>
    <row r="279" spans="2:467" x14ac:dyDescent="0.4">
      <c r="B279" t="str">
        <f>"9784334754709"</f>
        <v>9784334754709</v>
      </c>
      <c r="C279" t="s">
        <v>1503</v>
      </c>
      <c r="D279" t="s">
        <v>1504</v>
      </c>
      <c r="E279" t="s">
        <v>1505</v>
      </c>
      <c r="G279" t="s">
        <v>676</v>
      </c>
      <c r="H279" t="str">
        <f>"0110"</f>
        <v>0110</v>
      </c>
      <c r="I279" t="s">
        <v>481</v>
      </c>
      <c r="J279" t="s">
        <v>487</v>
      </c>
      <c r="K279" t="s">
        <v>483</v>
      </c>
      <c r="L279" s="1">
        <v>44874</v>
      </c>
      <c r="M279">
        <v>1160</v>
      </c>
      <c r="N279" t="str">
        <f>"131.2"</f>
        <v>131.2</v>
      </c>
      <c r="P279">
        <v>12</v>
      </c>
      <c r="Q279">
        <v>12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1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1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1</v>
      </c>
      <c r="CI279">
        <v>1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1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1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1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</v>
      </c>
      <c r="LZ279">
        <v>0</v>
      </c>
      <c r="MA279">
        <v>0</v>
      </c>
      <c r="MB279">
        <v>1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1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1</v>
      </c>
      <c r="NZ279">
        <v>0</v>
      </c>
      <c r="OA279">
        <v>0</v>
      </c>
      <c r="OB279">
        <v>0</v>
      </c>
      <c r="OC279">
        <v>0</v>
      </c>
      <c r="OD279">
        <v>0</v>
      </c>
      <c r="OE279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0</v>
      </c>
      <c r="PB279">
        <v>0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</v>
      </c>
      <c r="PJ279">
        <v>0</v>
      </c>
      <c r="PK279">
        <v>0</v>
      </c>
      <c r="PL279">
        <v>0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</v>
      </c>
      <c r="PS279">
        <v>0</v>
      </c>
      <c r="PT279">
        <v>1</v>
      </c>
      <c r="PU279">
        <v>0</v>
      </c>
      <c r="PV279">
        <v>0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0</v>
      </c>
      <c r="QC279">
        <v>0</v>
      </c>
      <c r="QD279">
        <v>0</v>
      </c>
      <c r="QE279">
        <v>0</v>
      </c>
      <c r="QF279">
        <v>0</v>
      </c>
      <c r="QG279">
        <v>0</v>
      </c>
      <c r="QH279">
        <v>0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1</v>
      </c>
      <c r="QY279">
        <v>0</v>
      </c>
    </row>
    <row r="280" spans="2:467" x14ac:dyDescent="0.4">
      <c r="B280" t="str">
        <f>"9784101234175"</f>
        <v>9784101234175</v>
      </c>
      <c r="C280" t="s">
        <v>1516</v>
      </c>
      <c r="D280" t="s">
        <v>1213</v>
      </c>
      <c r="E280" t="s">
        <v>1517</v>
      </c>
      <c r="G280" t="s">
        <v>516</v>
      </c>
      <c r="H280" t="str">
        <f>"0193"</f>
        <v>0193</v>
      </c>
      <c r="I280" t="s">
        <v>481</v>
      </c>
      <c r="J280" t="s">
        <v>487</v>
      </c>
      <c r="K280" t="s">
        <v>488</v>
      </c>
      <c r="L280" s="1">
        <v>38961</v>
      </c>
      <c r="M280">
        <v>750</v>
      </c>
      <c r="N280" t="str">
        <f>"913.6"</f>
        <v>913.6</v>
      </c>
      <c r="P280">
        <v>12</v>
      </c>
      <c r="Q280">
        <v>12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1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1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1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1</v>
      </c>
      <c r="JN280">
        <v>0</v>
      </c>
      <c r="JO280">
        <v>0</v>
      </c>
      <c r="JP280">
        <v>1</v>
      </c>
      <c r="JQ280">
        <v>1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1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1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1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1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0</v>
      </c>
      <c r="OY280">
        <v>0</v>
      </c>
      <c r="OZ280">
        <v>0</v>
      </c>
      <c r="PA280">
        <v>0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1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</v>
      </c>
      <c r="QC280">
        <v>0</v>
      </c>
      <c r="QD280">
        <v>0</v>
      </c>
      <c r="QE280">
        <v>0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1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</row>
    <row r="281" spans="2:467" hidden="1" x14ac:dyDescent="0.4">
      <c r="B281" t="str">
        <f>"9784004318941"</f>
        <v>9784004318941</v>
      </c>
      <c r="C281" t="s">
        <v>749</v>
      </c>
      <c r="D281" t="s">
        <v>750</v>
      </c>
      <c r="E281" t="s">
        <v>751</v>
      </c>
      <c r="G281" t="s">
        <v>521</v>
      </c>
      <c r="H281" t="str">
        <f>"0236"</f>
        <v>0236</v>
      </c>
      <c r="I281" t="s">
        <v>481</v>
      </c>
      <c r="J281" t="s">
        <v>482</v>
      </c>
      <c r="K281" t="s">
        <v>505</v>
      </c>
      <c r="L281" s="1">
        <v>44457</v>
      </c>
      <c r="M281">
        <v>1020</v>
      </c>
      <c r="N281" t="str">
        <f>"366.21"</f>
        <v>366.21</v>
      </c>
      <c r="P281">
        <v>37</v>
      </c>
      <c r="Q281">
        <v>11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1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3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1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1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1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25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1</v>
      </c>
      <c r="JN281">
        <v>0</v>
      </c>
      <c r="JO281">
        <v>0</v>
      </c>
      <c r="JP281">
        <v>0</v>
      </c>
      <c r="JQ281">
        <v>1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1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1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</v>
      </c>
      <c r="NE281">
        <v>1</v>
      </c>
      <c r="NF281">
        <v>0</v>
      </c>
      <c r="NG281">
        <v>0</v>
      </c>
      <c r="NH281">
        <v>0</v>
      </c>
      <c r="NI281">
        <v>0</v>
      </c>
      <c r="NJ281">
        <v>0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  <c r="PB281">
        <v>0</v>
      </c>
      <c r="PC281">
        <v>0</v>
      </c>
      <c r="PD281">
        <v>0</v>
      </c>
      <c r="PE281">
        <v>0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0</v>
      </c>
      <c r="PL281">
        <v>0</v>
      </c>
      <c r="PM281">
        <v>0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0</v>
      </c>
      <c r="PT281">
        <v>0</v>
      </c>
      <c r="PU281">
        <v>0</v>
      </c>
      <c r="PV281">
        <v>0</v>
      </c>
      <c r="PW281">
        <v>0</v>
      </c>
      <c r="PX281">
        <v>0</v>
      </c>
      <c r="PY281">
        <v>0</v>
      </c>
      <c r="PZ281">
        <v>0</v>
      </c>
      <c r="QA281">
        <v>0</v>
      </c>
      <c r="QB281">
        <v>0</v>
      </c>
      <c r="QC281">
        <v>0</v>
      </c>
      <c r="QD281">
        <v>0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0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</row>
    <row r="282" spans="2:467" x14ac:dyDescent="0.4">
      <c r="B282" t="str">
        <f>"9784413096843"</f>
        <v>9784413096843</v>
      </c>
      <c r="C282" t="s">
        <v>776</v>
      </c>
      <c r="D282" t="s">
        <v>777</v>
      </c>
      <c r="E282" t="s">
        <v>778</v>
      </c>
      <c r="G282" t="s">
        <v>779</v>
      </c>
      <c r="H282" t="str">
        <f>"0195"</f>
        <v>0195</v>
      </c>
      <c r="I282" t="s">
        <v>481</v>
      </c>
      <c r="J282" t="s">
        <v>487</v>
      </c>
      <c r="K282" t="s">
        <v>509</v>
      </c>
      <c r="L282" s="1">
        <v>43078</v>
      </c>
      <c r="M282">
        <v>740</v>
      </c>
      <c r="N282" t="str">
        <f>"159"</f>
        <v>159</v>
      </c>
      <c r="P282">
        <v>34</v>
      </c>
      <c r="Q282">
        <v>11</v>
      </c>
      <c r="R282">
        <v>0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1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2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2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1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2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0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0</v>
      </c>
      <c r="NE282">
        <v>0</v>
      </c>
      <c r="NF282">
        <v>0</v>
      </c>
      <c r="NG282">
        <v>0</v>
      </c>
      <c r="NH282">
        <v>0</v>
      </c>
      <c r="NI282">
        <v>0</v>
      </c>
      <c r="NJ282">
        <v>0</v>
      </c>
      <c r="NK282">
        <v>0</v>
      </c>
      <c r="NL282">
        <v>0</v>
      </c>
      <c r="NM282">
        <v>0</v>
      </c>
      <c r="NN282">
        <v>0</v>
      </c>
      <c r="NO282">
        <v>0</v>
      </c>
      <c r="NP282">
        <v>0</v>
      </c>
      <c r="NQ282">
        <v>0</v>
      </c>
      <c r="NR282">
        <v>1</v>
      </c>
      <c r="NS282">
        <v>0</v>
      </c>
      <c r="NT282">
        <v>0</v>
      </c>
      <c r="NU282">
        <v>0</v>
      </c>
      <c r="NV282">
        <v>0</v>
      </c>
      <c r="NW282">
        <v>0</v>
      </c>
      <c r="NX282">
        <v>0</v>
      </c>
      <c r="NY282">
        <v>2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0</v>
      </c>
      <c r="OH282">
        <v>0</v>
      </c>
      <c r="OI282">
        <v>0</v>
      </c>
      <c r="OJ282">
        <v>0</v>
      </c>
      <c r="OK282">
        <v>0</v>
      </c>
      <c r="OL282">
        <v>0</v>
      </c>
      <c r="OM282">
        <v>0</v>
      </c>
      <c r="ON282">
        <v>0</v>
      </c>
      <c r="OO282">
        <v>20</v>
      </c>
      <c r="OP282">
        <v>0</v>
      </c>
      <c r="OQ282">
        <v>0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0</v>
      </c>
      <c r="PL282">
        <v>0</v>
      </c>
      <c r="PM282">
        <v>0</v>
      </c>
      <c r="PN282">
        <v>0</v>
      </c>
      <c r="PO282">
        <v>0</v>
      </c>
      <c r="PP282">
        <v>0</v>
      </c>
      <c r="PQ282">
        <v>0</v>
      </c>
      <c r="PR282">
        <v>0</v>
      </c>
      <c r="PS282">
        <v>0</v>
      </c>
      <c r="PT282">
        <v>0</v>
      </c>
      <c r="PU282">
        <v>0</v>
      </c>
      <c r="PV282">
        <v>0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1</v>
      </c>
      <c r="QC282">
        <v>0</v>
      </c>
      <c r="QD282">
        <v>0</v>
      </c>
      <c r="QE282">
        <v>0</v>
      </c>
      <c r="QF282">
        <v>0</v>
      </c>
      <c r="QG282">
        <v>0</v>
      </c>
      <c r="QH282">
        <v>0</v>
      </c>
      <c r="QI282">
        <v>0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</v>
      </c>
      <c r="QS282">
        <v>0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</row>
    <row r="283" spans="2:467" hidden="1" x14ac:dyDescent="0.4">
      <c r="B283" t="str">
        <f>"9784591176023"</f>
        <v>9784591176023</v>
      </c>
      <c r="C283" t="s">
        <v>949</v>
      </c>
      <c r="D283" t="s">
        <v>950</v>
      </c>
      <c r="E283">
        <v>233</v>
      </c>
      <c r="G283" t="s">
        <v>572</v>
      </c>
      <c r="H283" t="str">
        <f>"0295"</f>
        <v>0295</v>
      </c>
      <c r="I283" t="s">
        <v>481</v>
      </c>
      <c r="J283" t="s">
        <v>482</v>
      </c>
      <c r="K283" t="s">
        <v>509</v>
      </c>
      <c r="L283" s="1">
        <v>44937</v>
      </c>
      <c r="M283">
        <v>890</v>
      </c>
      <c r="N283" t="str">
        <f>"407"</f>
        <v>407</v>
      </c>
      <c r="P283">
        <v>22</v>
      </c>
      <c r="Q283">
        <v>11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2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1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1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1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1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1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1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1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11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0</v>
      </c>
      <c r="NL283">
        <v>0</v>
      </c>
      <c r="NM283">
        <v>0</v>
      </c>
      <c r="NN283">
        <v>0</v>
      </c>
      <c r="NO283">
        <v>0</v>
      </c>
      <c r="NP283">
        <v>0</v>
      </c>
      <c r="NQ283">
        <v>0</v>
      </c>
      <c r="NR283">
        <v>0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0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0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0</v>
      </c>
      <c r="PB283">
        <v>0</v>
      </c>
      <c r="PC283">
        <v>0</v>
      </c>
      <c r="PD283">
        <v>0</v>
      </c>
      <c r="PE283">
        <v>0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0</v>
      </c>
      <c r="PL283">
        <v>0</v>
      </c>
      <c r="PM283">
        <v>0</v>
      </c>
      <c r="PN283">
        <v>0</v>
      </c>
      <c r="PO283">
        <v>0</v>
      </c>
      <c r="PP283">
        <v>0</v>
      </c>
      <c r="PQ283">
        <v>0</v>
      </c>
      <c r="PR283">
        <v>0</v>
      </c>
      <c r="PS283">
        <v>0</v>
      </c>
      <c r="PT283">
        <v>1</v>
      </c>
      <c r="PU283">
        <v>0</v>
      </c>
      <c r="PV283">
        <v>0</v>
      </c>
      <c r="PW283">
        <v>0</v>
      </c>
      <c r="PX283">
        <v>0</v>
      </c>
      <c r="PY283">
        <v>0</v>
      </c>
      <c r="PZ283">
        <v>0</v>
      </c>
      <c r="QA283">
        <v>0</v>
      </c>
      <c r="QB283">
        <v>1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</row>
    <row r="284" spans="2:467" x14ac:dyDescent="0.4">
      <c r="B284" t="str">
        <f>"9784003900024"</f>
        <v>9784003900024</v>
      </c>
      <c r="C284" t="s">
        <v>1025</v>
      </c>
      <c r="D284" t="s">
        <v>1026</v>
      </c>
      <c r="E284" t="s">
        <v>1027</v>
      </c>
      <c r="G284" t="s">
        <v>521</v>
      </c>
      <c r="H284" t="str">
        <f>"0131"</f>
        <v>0131</v>
      </c>
      <c r="I284" t="s">
        <v>481</v>
      </c>
      <c r="J284" t="s">
        <v>487</v>
      </c>
      <c r="K284" t="s">
        <v>502</v>
      </c>
      <c r="L284" s="1">
        <v>43904</v>
      </c>
      <c r="M284">
        <v>840</v>
      </c>
      <c r="N284" t="str">
        <f>"133.4"</f>
        <v>133.4</v>
      </c>
      <c r="P284">
        <v>19</v>
      </c>
      <c r="Q284">
        <v>11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1</v>
      </c>
      <c r="CI284">
        <v>3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1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1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1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4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4</v>
      </c>
      <c r="JN284">
        <v>0</v>
      </c>
      <c r="JO284">
        <v>0</v>
      </c>
      <c r="JP284">
        <v>0</v>
      </c>
      <c r="JQ284">
        <v>1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1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1</v>
      </c>
      <c r="MO284">
        <v>0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0</v>
      </c>
      <c r="NJ284">
        <v>0</v>
      </c>
      <c r="NK284">
        <v>0</v>
      </c>
      <c r="NL284">
        <v>0</v>
      </c>
      <c r="NM284">
        <v>0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C284">
        <v>0</v>
      </c>
      <c r="OD284">
        <v>0</v>
      </c>
      <c r="OE284">
        <v>0</v>
      </c>
      <c r="OF284">
        <v>0</v>
      </c>
      <c r="OG284">
        <v>0</v>
      </c>
      <c r="OH284">
        <v>0</v>
      </c>
      <c r="OI284">
        <v>0</v>
      </c>
      <c r="OJ284">
        <v>0</v>
      </c>
      <c r="OK284">
        <v>0</v>
      </c>
      <c r="OL284">
        <v>0</v>
      </c>
      <c r="OM284">
        <v>0</v>
      </c>
      <c r="ON284">
        <v>0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</v>
      </c>
      <c r="PL284">
        <v>0</v>
      </c>
      <c r="PM284">
        <v>1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0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</row>
    <row r="285" spans="2:467" hidden="1" x14ac:dyDescent="0.4">
      <c r="B285" t="str">
        <f>"9784004319306"</f>
        <v>9784004319306</v>
      </c>
      <c r="C285" t="s">
        <v>1260</v>
      </c>
      <c r="D285" t="s">
        <v>1261</v>
      </c>
      <c r="E285" t="s">
        <v>1262</v>
      </c>
      <c r="G285" t="s">
        <v>521</v>
      </c>
      <c r="H285" t="str">
        <f>"0220"</f>
        <v>0220</v>
      </c>
      <c r="I285" t="s">
        <v>481</v>
      </c>
      <c r="J285" t="s">
        <v>482</v>
      </c>
      <c r="K285" t="s">
        <v>1013</v>
      </c>
      <c r="L285" s="1">
        <v>44704</v>
      </c>
      <c r="M285">
        <v>940</v>
      </c>
      <c r="N285" t="str">
        <f>"316.8"</f>
        <v>316.8</v>
      </c>
      <c r="P285">
        <v>15</v>
      </c>
      <c r="Q285">
        <v>11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2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1</v>
      </c>
      <c r="DZ285">
        <v>0</v>
      </c>
      <c r="EA285">
        <v>0</v>
      </c>
      <c r="EB285">
        <v>0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1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1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1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2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1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3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1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0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</v>
      </c>
      <c r="NK285">
        <v>0</v>
      </c>
      <c r="NL285">
        <v>0</v>
      </c>
      <c r="NM285">
        <v>0</v>
      </c>
      <c r="NN285">
        <v>0</v>
      </c>
      <c r="NO285">
        <v>0</v>
      </c>
      <c r="NP285">
        <v>0</v>
      </c>
      <c r="NQ285">
        <v>0</v>
      </c>
      <c r="NR285">
        <v>0</v>
      </c>
      <c r="NS285">
        <v>0</v>
      </c>
      <c r="NT285">
        <v>0</v>
      </c>
      <c r="NU285">
        <v>0</v>
      </c>
      <c r="NV285">
        <v>0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</v>
      </c>
      <c r="OK285">
        <v>0</v>
      </c>
      <c r="OL285">
        <v>0</v>
      </c>
      <c r="OM285">
        <v>0</v>
      </c>
      <c r="ON285">
        <v>0</v>
      </c>
      <c r="OO285">
        <v>0</v>
      </c>
      <c r="OP285">
        <v>0</v>
      </c>
      <c r="OQ285">
        <v>0</v>
      </c>
      <c r="OR285">
        <v>0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0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0</v>
      </c>
      <c r="PT285">
        <v>0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0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</v>
      </c>
      <c r="QK285">
        <v>0</v>
      </c>
      <c r="QL285">
        <v>0</v>
      </c>
      <c r="QM285">
        <v>0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0</v>
      </c>
      <c r="QU285">
        <v>0</v>
      </c>
      <c r="QV285">
        <v>0</v>
      </c>
      <c r="QW285">
        <v>0</v>
      </c>
      <c r="QX285">
        <v>0</v>
      </c>
      <c r="QY285">
        <v>0</v>
      </c>
    </row>
    <row r="286" spans="2:467" hidden="1" x14ac:dyDescent="0.4">
      <c r="B286" t="str">
        <f>"9784560072455"</f>
        <v>9784560072455</v>
      </c>
      <c r="C286" t="s">
        <v>1285</v>
      </c>
      <c r="D286" t="s">
        <v>1286</v>
      </c>
      <c r="E286">
        <v>245</v>
      </c>
      <c r="G286" t="s">
        <v>839</v>
      </c>
      <c r="H286" t="str">
        <f>"0297"</f>
        <v>0297</v>
      </c>
      <c r="I286" t="s">
        <v>481</v>
      </c>
      <c r="J286" t="s">
        <v>482</v>
      </c>
      <c r="K286" t="s">
        <v>564</v>
      </c>
      <c r="L286" s="1">
        <v>44923</v>
      </c>
      <c r="M286">
        <v>1800</v>
      </c>
      <c r="N286" t="str">
        <f>"933"</f>
        <v>933</v>
      </c>
      <c r="P286">
        <v>14</v>
      </c>
      <c r="Q286">
        <v>11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1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1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1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4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1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1</v>
      </c>
      <c r="OT286">
        <v>0</v>
      </c>
      <c r="OU286">
        <v>1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1</v>
      </c>
      <c r="PL286">
        <v>0</v>
      </c>
      <c r="PM286">
        <v>0</v>
      </c>
      <c r="PN286">
        <v>0</v>
      </c>
      <c r="PO286">
        <v>0</v>
      </c>
      <c r="PP286">
        <v>1</v>
      </c>
      <c r="PQ286">
        <v>0</v>
      </c>
      <c r="PR286">
        <v>0</v>
      </c>
      <c r="PS286">
        <v>0</v>
      </c>
      <c r="PT286">
        <v>0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0</v>
      </c>
      <c r="QD286">
        <v>0</v>
      </c>
      <c r="QE286">
        <v>0</v>
      </c>
      <c r="QF286">
        <v>0</v>
      </c>
      <c r="QG286">
        <v>0</v>
      </c>
      <c r="QH286">
        <v>0</v>
      </c>
      <c r="QI286">
        <v>0</v>
      </c>
      <c r="QJ286">
        <v>0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0</v>
      </c>
      <c r="QY286">
        <v>0</v>
      </c>
    </row>
    <row r="287" spans="2:467" x14ac:dyDescent="0.4">
      <c r="B287" t="str">
        <f>"9784480438355"</f>
        <v>9784480438355</v>
      </c>
      <c r="C287" t="s">
        <v>1296</v>
      </c>
      <c r="D287" t="s">
        <v>1297</v>
      </c>
      <c r="E287" t="s">
        <v>1298</v>
      </c>
      <c r="G287" t="s">
        <v>501</v>
      </c>
      <c r="H287" t="str">
        <f>"0195"</f>
        <v>0195</v>
      </c>
      <c r="I287" t="s">
        <v>481</v>
      </c>
      <c r="J287" t="s">
        <v>487</v>
      </c>
      <c r="K287" t="s">
        <v>509</v>
      </c>
      <c r="L287" s="1">
        <v>44937</v>
      </c>
      <c r="M287">
        <v>880</v>
      </c>
      <c r="N287" t="str">
        <f>"829.1"</f>
        <v>829.1</v>
      </c>
      <c r="P287">
        <v>14</v>
      </c>
      <c r="Q287">
        <v>11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0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2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1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1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1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1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1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2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1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0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0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0</v>
      </c>
      <c r="PH287">
        <v>0</v>
      </c>
      <c r="PI287">
        <v>0</v>
      </c>
      <c r="PJ287">
        <v>0</v>
      </c>
      <c r="PK287">
        <v>2</v>
      </c>
      <c r="PL287">
        <v>0</v>
      </c>
      <c r="PM287">
        <v>0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</row>
    <row r="288" spans="2:467" x14ac:dyDescent="0.4">
      <c r="B288" t="str">
        <f>"9784003420935"</f>
        <v>9784003420935</v>
      </c>
      <c r="C288" t="s">
        <v>1309</v>
      </c>
      <c r="D288" t="s">
        <v>1310</v>
      </c>
      <c r="E288" t="s">
        <v>1311</v>
      </c>
      <c r="G288" t="s">
        <v>521</v>
      </c>
      <c r="H288" t="str">
        <f>"0136"</f>
        <v>0136</v>
      </c>
      <c r="I288" t="s">
        <v>481</v>
      </c>
      <c r="J288" t="s">
        <v>487</v>
      </c>
      <c r="K288" t="s">
        <v>505</v>
      </c>
      <c r="L288" s="1">
        <v>32509</v>
      </c>
      <c r="M288">
        <v>1130</v>
      </c>
      <c r="N288" t="str">
        <f>"331.5"</f>
        <v>331.5</v>
      </c>
      <c r="P288">
        <v>14</v>
      </c>
      <c r="Q288">
        <v>11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1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2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1</v>
      </c>
      <c r="CR288">
        <v>0</v>
      </c>
      <c r="CS288">
        <v>0</v>
      </c>
      <c r="CT288">
        <v>2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2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1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1</v>
      </c>
      <c r="LX288">
        <v>0</v>
      </c>
      <c r="LY288">
        <v>0</v>
      </c>
      <c r="LZ288">
        <v>1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</v>
      </c>
      <c r="MY288">
        <v>0</v>
      </c>
      <c r="MZ288">
        <v>0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  <c r="NG288">
        <v>0</v>
      </c>
      <c r="NH288">
        <v>0</v>
      </c>
      <c r="NI288">
        <v>0</v>
      </c>
      <c r="NJ288">
        <v>0</v>
      </c>
      <c r="NK288">
        <v>0</v>
      </c>
      <c r="NL288">
        <v>0</v>
      </c>
      <c r="NM288">
        <v>0</v>
      </c>
      <c r="NN288">
        <v>0</v>
      </c>
      <c r="NO288">
        <v>0</v>
      </c>
      <c r="NP288">
        <v>0</v>
      </c>
      <c r="NQ288">
        <v>0</v>
      </c>
      <c r="NR288">
        <v>1</v>
      </c>
      <c r="NS288">
        <v>0</v>
      </c>
      <c r="NT288">
        <v>0</v>
      </c>
      <c r="NU288">
        <v>0</v>
      </c>
      <c r="NV288">
        <v>0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C288">
        <v>0</v>
      </c>
      <c r="OD288">
        <v>0</v>
      </c>
      <c r="OE288">
        <v>0</v>
      </c>
      <c r="OF288">
        <v>0</v>
      </c>
      <c r="OG288">
        <v>0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</v>
      </c>
      <c r="OV288">
        <v>0</v>
      </c>
      <c r="OW288">
        <v>0</v>
      </c>
      <c r="OX288">
        <v>0</v>
      </c>
      <c r="OY288">
        <v>0</v>
      </c>
      <c r="OZ288">
        <v>0</v>
      </c>
      <c r="PA288">
        <v>0</v>
      </c>
      <c r="PB288">
        <v>0</v>
      </c>
      <c r="PC288">
        <v>0</v>
      </c>
      <c r="PD288">
        <v>0</v>
      </c>
      <c r="PE288">
        <v>0</v>
      </c>
      <c r="PF288">
        <v>0</v>
      </c>
      <c r="PG288">
        <v>0</v>
      </c>
      <c r="PH288">
        <v>0</v>
      </c>
      <c r="PI288">
        <v>0</v>
      </c>
      <c r="PJ288">
        <v>0</v>
      </c>
      <c r="PK288">
        <v>0</v>
      </c>
      <c r="PL288">
        <v>0</v>
      </c>
      <c r="PM288">
        <v>0</v>
      </c>
      <c r="PN288">
        <v>0</v>
      </c>
      <c r="PO288">
        <v>0</v>
      </c>
      <c r="PP288">
        <v>0</v>
      </c>
      <c r="PQ288">
        <v>0</v>
      </c>
      <c r="PR288">
        <v>0</v>
      </c>
      <c r="PS288">
        <v>0</v>
      </c>
      <c r="PT288">
        <v>0</v>
      </c>
      <c r="PU288">
        <v>0</v>
      </c>
      <c r="PV288">
        <v>0</v>
      </c>
      <c r="PW288">
        <v>0</v>
      </c>
      <c r="PX288">
        <v>0</v>
      </c>
      <c r="PY288">
        <v>0</v>
      </c>
      <c r="PZ288">
        <v>0</v>
      </c>
      <c r="QA288">
        <v>0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</row>
    <row r="289" spans="2:467" hidden="1" x14ac:dyDescent="0.4">
      <c r="B289" t="str">
        <f>"9784087212501"</f>
        <v>9784087212501</v>
      </c>
      <c r="C289" t="s">
        <v>1320</v>
      </c>
      <c r="D289" t="s">
        <v>1321</v>
      </c>
      <c r="E289" t="s">
        <v>1322</v>
      </c>
      <c r="G289" t="s">
        <v>536</v>
      </c>
      <c r="H289" t="str">
        <f>"0236"</f>
        <v>0236</v>
      </c>
      <c r="I289" t="s">
        <v>481</v>
      </c>
      <c r="J289" t="s">
        <v>482</v>
      </c>
      <c r="K289" t="s">
        <v>505</v>
      </c>
      <c r="L289" s="1">
        <v>44940</v>
      </c>
      <c r="M289">
        <v>920</v>
      </c>
      <c r="N289" t="str">
        <f>"588.52"</f>
        <v>588.52</v>
      </c>
      <c r="P289">
        <v>14</v>
      </c>
      <c r="Q289">
        <v>11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2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1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1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1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1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1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2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0</v>
      </c>
      <c r="ND289">
        <v>0</v>
      </c>
      <c r="NE289">
        <v>0</v>
      </c>
      <c r="NF289">
        <v>0</v>
      </c>
      <c r="NG289">
        <v>0</v>
      </c>
      <c r="NH289">
        <v>0</v>
      </c>
      <c r="NI289">
        <v>0</v>
      </c>
      <c r="NJ289">
        <v>0</v>
      </c>
      <c r="NK289">
        <v>0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2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  <c r="PB289">
        <v>0</v>
      </c>
      <c r="PC289">
        <v>0</v>
      </c>
      <c r="PD289">
        <v>0</v>
      </c>
      <c r="PE289">
        <v>0</v>
      </c>
      <c r="PF289">
        <v>0</v>
      </c>
      <c r="PG289">
        <v>0</v>
      </c>
      <c r="PH289">
        <v>0</v>
      </c>
      <c r="PI289">
        <v>0</v>
      </c>
      <c r="PJ289">
        <v>0</v>
      </c>
      <c r="PK289">
        <v>0</v>
      </c>
      <c r="PL289">
        <v>0</v>
      </c>
      <c r="PM289">
        <v>0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</row>
    <row r="290" spans="2:467" hidden="1" x14ac:dyDescent="0.4">
      <c r="B290" t="str">
        <f>"9784065154298"</f>
        <v>9784065154298</v>
      </c>
      <c r="C290" t="s">
        <v>1339</v>
      </c>
      <c r="D290" t="s">
        <v>547</v>
      </c>
      <c r="E290">
        <v>2528</v>
      </c>
      <c r="G290" t="s">
        <v>548</v>
      </c>
      <c r="H290" t="str">
        <f>"0236"</f>
        <v>0236</v>
      </c>
      <c r="I290" t="s">
        <v>481</v>
      </c>
      <c r="J290" t="s">
        <v>482</v>
      </c>
      <c r="K290" t="s">
        <v>505</v>
      </c>
      <c r="L290" s="1">
        <v>43663</v>
      </c>
      <c r="M290">
        <v>1300</v>
      </c>
      <c r="N290" t="str">
        <f>"302.1"</f>
        <v>302.1</v>
      </c>
      <c r="P290">
        <v>13</v>
      </c>
      <c r="Q290">
        <v>11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1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1</v>
      </c>
      <c r="CD290">
        <v>0</v>
      </c>
      <c r="CE290">
        <v>0</v>
      </c>
      <c r="CF290">
        <v>0</v>
      </c>
      <c r="CG290">
        <v>0</v>
      </c>
      <c r="CH290">
        <v>3</v>
      </c>
      <c r="CI290">
        <v>1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1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1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1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1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1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1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0</v>
      </c>
      <c r="PL290">
        <v>0</v>
      </c>
      <c r="PM290">
        <v>0</v>
      </c>
      <c r="PN290">
        <v>0</v>
      </c>
      <c r="PO290">
        <v>0</v>
      </c>
      <c r="PP290">
        <v>0</v>
      </c>
      <c r="PQ290">
        <v>0</v>
      </c>
      <c r="PR290">
        <v>0</v>
      </c>
      <c r="PS290">
        <v>0</v>
      </c>
      <c r="PT290">
        <v>0</v>
      </c>
      <c r="PU290">
        <v>0</v>
      </c>
      <c r="PV290">
        <v>0</v>
      </c>
      <c r="PW290">
        <v>0</v>
      </c>
      <c r="PX290">
        <v>0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0</v>
      </c>
      <c r="QK290">
        <v>0</v>
      </c>
      <c r="QL290">
        <v>0</v>
      </c>
      <c r="QM290">
        <v>0</v>
      </c>
      <c r="QN290">
        <v>0</v>
      </c>
      <c r="QO290">
        <v>0</v>
      </c>
      <c r="QP290">
        <v>0</v>
      </c>
      <c r="QQ290">
        <v>0</v>
      </c>
      <c r="QR290">
        <v>0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0</v>
      </c>
      <c r="QY290">
        <v>0</v>
      </c>
    </row>
    <row r="291" spans="2:467" x14ac:dyDescent="0.4">
      <c r="B291" t="str">
        <f>"9784065249710"</f>
        <v>9784065249710</v>
      </c>
      <c r="C291" t="s">
        <v>1358</v>
      </c>
      <c r="D291" t="s">
        <v>1359</v>
      </c>
      <c r="E291" t="s">
        <v>1360</v>
      </c>
      <c r="G291" t="s">
        <v>548</v>
      </c>
      <c r="H291" t="str">
        <f>"0193"</f>
        <v>0193</v>
      </c>
      <c r="I291" t="s">
        <v>481</v>
      </c>
      <c r="J291" t="s">
        <v>487</v>
      </c>
      <c r="K291" t="s">
        <v>488</v>
      </c>
      <c r="L291" s="1">
        <v>44454</v>
      </c>
      <c r="M291">
        <v>900</v>
      </c>
      <c r="N291" t="str">
        <f>"913.6"</f>
        <v>913.6</v>
      </c>
      <c r="P291">
        <v>13</v>
      </c>
      <c r="Q291">
        <v>11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1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1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1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1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2</v>
      </c>
      <c r="HV291">
        <v>1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1</v>
      </c>
      <c r="JM291">
        <v>2</v>
      </c>
      <c r="JN291">
        <v>0</v>
      </c>
      <c r="JO291">
        <v>0</v>
      </c>
      <c r="JP291">
        <v>0</v>
      </c>
      <c r="JQ291">
        <v>1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1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0</v>
      </c>
      <c r="PN291">
        <v>0</v>
      </c>
      <c r="PO291">
        <v>0</v>
      </c>
      <c r="PP291">
        <v>0</v>
      </c>
      <c r="PQ291">
        <v>0</v>
      </c>
      <c r="PR291">
        <v>0</v>
      </c>
      <c r="PS291">
        <v>0</v>
      </c>
      <c r="PT291">
        <v>0</v>
      </c>
      <c r="PU291">
        <v>0</v>
      </c>
      <c r="PV291">
        <v>0</v>
      </c>
      <c r="PW291">
        <v>0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</row>
    <row r="292" spans="2:467" x14ac:dyDescent="0.4">
      <c r="B292" t="str">
        <f>"9784480511201"</f>
        <v>9784480511201</v>
      </c>
      <c r="C292" t="s">
        <v>1364</v>
      </c>
      <c r="D292" t="s">
        <v>1365</v>
      </c>
      <c r="E292" t="s">
        <v>1366</v>
      </c>
      <c r="G292" t="s">
        <v>501</v>
      </c>
      <c r="H292" t="str">
        <f>"0130"</f>
        <v>0130</v>
      </c>
      <c r="I292" t="s">
        <v>481</v>
      </c>
      <c r="J292" t="s">
        <v>487</v>
      </c>
      <c r="K292" t="s">
        <v>600</v>
      </c>
      <c r="L292" s="1">
        <v>44846</v>
      </c>
      <c r="M292">
        <v>1400</v>
      </c>
      <c r="N292" t="str">
        <f>"304"</f>
        <v>304</v>
      </c>
      <c r="P292">
        <v>13</v>
      </c>
      <c r="Q292">
        <v>11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1</v>
      </c>
      <c r="CZ292">
        <v>0</v>
      </c>
      <c r="DA292">
        <v>0</v>
      </c>
      <c r="DB292">
        <v>0</v>
      </c>
      <c r="DC292">
        <v>2</v>
      </c>
      <c r="DD292">
        <v>0</v>
      </c>
      <c r="DE292">
        <v>0</v>
      </c>
      <c r="DF292">
        <v>1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1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1</v>
      </c>
      <c r="FF292">
        <v>0</v>
      </c>
      <c r="FG292">
        <v>0</v>
      </c>
      <c r="FH292">
        <v>1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2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1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1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1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0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0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0</v>
      </c>
      <c r="PT292">
        <v>0</v>
      </c>
      <c r="PU292">
        <v>0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</row>
    <row r="293" spans="2:467" hidden="1" x14ac:dyDescent="0.4">
      <c r="B293" t="str">
        <f>"9784140886915"</f>
        <v>9784140886915</v>
      </c>
      <c r="C293" t="s">
        <v>1367</v>
      </c>
      <c r="D293" t="s">
        <v>1368</v>
      </c>
      <c r="E293">
        <v>691</v>
      </c>
      <c r="G293" t="s">
        <v>480</v>
      </c>
      <c r="H293" t="str">
        <f>"0273"</f>
        <v>0273</v>
      </c>
      <c r="I293" t="s">
        <v>481</v>
      </c>
      <c r="J293" t="s">
        <v>482</v>
      </c>
      <c r="K293" t="s">
        <v>794</v>
      </c>
      <c r="L293" s="1">
        <v>44932</v>
      </c>
      <c r="M293">
        <v>930</v>
      </c>
      <c r="N293" t="str">
        <f>"764.3"</f>
        <v>764.3</v>
      </c>
      <c r="P293">
        <v>13</v>
      </c>
      <c r="Q293">
        <v>11</v>
      </c>
      <c r="R293">
        <v>0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1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2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1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1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2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1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</v>
      </c>
      <c r="NK293">
        <v>0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1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0</v>
      </c>
      <c r="OR293">
        <v>0</v>
      </c>
      <c r="OS293">
        <v>1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  <c r="PB293">
        <v>0</v>
      </c>
      <c r="PC293">
        <v>0</v>
      </c>
      <c r="PD293">
        <v>0</v>
      </c>
      <c r="PE293">
        <v>0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0</v>
      </c>
      <c r="PT293">
        <v>0</v>
      </c>
      <c r="PU293">
        <v>0</v>
      </c>
      <c r="PV293">
        <v>0</v>
      </c>
      <c r="PW293">
        <v>0</v>
      </c>
      <c r="PX293">
        <v>0</v>
      </c>
      <c r="PY293">
        <v>0</v>
      </c>
      <c r="PZ293">
        <v>0</v>
      </c>
      <c r="QA293">
        <v>0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0</v>
      </c>
      <c r="QR293">
        <v>0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</row>
    <row r="294" spans="2:467" hidden="1" x14ac:dyDescent="0.4">
      <c r="B294" t="str">
        <f>"9784005009596"</f>
        <v>9784005009596</v>
      </c>
      <c r="C294" t="s">
        <v>1372</v>
      </c>
      <c r="D294" t="s">
        <v>1373</v>
      </c>
      <c r="E294">
        <v>959</v>
      </c>
      <c r="G294" t="s">
        <v>521</v>
      </c>
      <c r="H294" t="str">
        <f>"0237"</f>
        <v>0237</v>
      </c>
      <c r="I294" t="s">
        <v>481</v>
      </c>
      <c r="J294" t="s">
        <v>482</v>
      </c>
      <c r="K294" t="s">
        <v>569</v>
      </c>
      <c r="L294" s="1">
        <v>44855</v>
      </c>
      <c r="M294">
        <v>820</v>
      </c>
      <c r="N294" t="str">
        <f>"K002"</f>
        <v>K002</v>
      </c>
      <c r="P294">
        <v>13</v>
      </c>
      <c r="Q294">
        <v>11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2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2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1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1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0</v>
      </c>
      <c r="NE294">
        <v>1</v>
      </c>
      <c r="NF294">
        <v>0</v>
      </c>
      <c r="NG294">
        <v>0</v>
      </c>
      <c r="NH294">
        <v>0</v>
      </c>
      <c r="NI294">
        <v>0</v>
      </c>
      <c r="NJ294">
        <v>0</v>
      </c>
      <c r="NK294">
        <v>0</v>
      </c>
      <c r="NL294">
        <v>0</v>
      </c>
      <c r="NM294">
        <v>0</v>
      </c>
      <c r="NN294">
        <v>0</v>
      </c>
      <c r="NO294">
        <v>0</v>
      </c>
      <c r="NP294">
        <v>0</v>
      </c>
      <c r="NQ294">
        <v>0</v>
      </c>
      <c r="NR294">
        <v>0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0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1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0</v>
      </c>
      <c r="PT294">
        <v>1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1</v>
      </c>
      <c r="QC294">
        <v>0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1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1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1</v>
      </c>
    </row>
    <row r="295" spans="2:467" x14ac:dyDescent="0.4">
      <c r="B295" t="str">
        <f>"9784101388823"</f>
        <v>9784101388823</v>
      </c>
      <c r="C295" t="s">
        <v>1379</v>
      </c>
      <c r="D295" t="s">
        <v>496</v>
      </c>
      <c r="E295" t="s">
        <v>1380</v>
      </c>
      <c r="G295" t="s">
        <v>516</v>
      </c>
      <c r="H295" t="str">
        <f>"0193"</f>
        <v>0193</v>
      </c>
      <c r="I295" t="s">
        <v>481</v>
      </c>
      <c r="J295" t="s">
        <v>487</v>
      </c>
      <c r="K295" t="s">
        <v>488</v>
      </c>
      <c r="L295" s="1">
        <v>42767</v>
      </c>
      <c r="M295">
        <v>590</v>
      </c>
      <c r="N295" t="str">
        <f>"913.6"</f>
        <v>913.6</v>
      </c>
      <c r="P295">
        <v>13</v>
      </c>
      <c r="Q295">
        <v>11</v>
      </c>
      <c r="R295">
        <v>0</v>
      </c>
      <c r="S295">
        <v>0</v>
      </c>
      <c r="T295">
        <v>0</v>
      </c>
      <c r="U295">
        <v>0</v>
      </c>
      <c r="V295">
        <v>1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1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1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3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1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1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1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1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1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1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  <c r="NG295">
        <v>0</v>
      </c>
      <c r="NH295">
        <v>0</v>
      </c>
      <c r="NI295">
        <v>0</v>
      </c>
      <c r="NJ295">
        <v>0</v>
      </c>
      <c r="NK295">
        <v>0</v>
      </c>
      <c r="NL295">
        <v>0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1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0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0</v>
      </c>
      <c r="PB295">
        <v>0</v>
      </c>
      <c r="PC295">
        <v>0</v>
      </c>
      <c r="PD295">
        <v>0</v>
      </c>
      <c r="PE295">
        <v>0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0</v>
      </c>
      <c r="PL295">
        <v>0</v>
      </c>
      <c r="PM295">
        <v>0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0</v>
      </c>
      <c r="PT295">
        <v>0</v>
      </c>
      <c r="PU295">
        <v>0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0</v>
      </c>
      <c r="QG295">
        <v>0</v>
      </c>
      <c r="QH295">
        <v>0</v>
      </c>
      <c r="QI295">
        <v>0</v>
      </c>
      <c r="QJ295">
        <v>0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</row>
    <row r="296" spans="2:467" x14ac:dyDescent="0.4">
      <c r="B296" t="str">
        <f>"9784087457483"</f>
        <v>9784087457483</v>
      </c>
      <c r="C296" t="s">
        <v>1388</v>
      </c>
      <c r="D296" t="s">
        <v>685</v>
      </c>
      <c r="E296" t="s">
        <v>1389</v>
      </c>
      <c r="G296" t="s">
        <v>536</v>
      </c>
      <c r="H296" t="str">
        <f>"0193"</f>
        <v>0193</v>
      </c>
      <c r="I296" t="s">
        <v>481</v>
      </c>
      <c r="J296" t="s">
        <v>487</v>
      </c>
      <c r="K296" t="s">
        <v>488</v>
      </c>
      <c r="L296" s="1">
        <v>43272</v>
      </c>
      <c r="M296">
        <v>740</v>
      </c>
      <c r="N296" t="str">
        <f>"913.6"</f>
        <v>913.6</v>
      </c>
      <c r="P296">
        <v>13</v>
      </c>
      <c r="Q296">
        <v>11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1</v>
      </c>
      <c r="BN296">
        <v>0</v>
      </c>
      <c r="BO296">
        <v>0</v>
      </c>
      <c r="BP296">
        <v>0</v>
      </c>
      <c r="BQ296">
        <v>1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2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1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1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1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0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0</v>
      </c>
      <c r="NK296">
        <v>0</v>
      </c>
      <c r="NL296">
        <v>0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0</v>
      </c>
      <c r="OD296">
        <v>0</v>
      </c>
      <c r="OE296">
        <v>0</v>
      </c>
      <c r="OF296">
        <v>0</v>
      </c>
      <c r="OG296">
        <v>0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0</v>
      </c>
      <c r="PB296">
        <v>0</v>
      </c>
      <c r="PC296">
        <v>0</v>
      </c>
      <c r="PD296">
        <v>0</v>
      </c>
      <c r="PE296">
        <v>1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0</v>
      </c>
      <c r="PL296">
        <v>0</v>
      </c>
      <c r="PM296">
        <v>0</v>
      </c>
      <c r="PN296">
        <v>0</v>
      </c>
      <c r="PO296">
        <v>0</v>
      </c>
      <c r="PP296">
        <v>0</v>
      </c>
      <c r="PQ296">
        <v>0</v>
      </c>
      <c r="PR296">
        <v>0</v>
      </c>
      <c r="PS296">
        <v>0</v>
      </c>
      <c r="PT296">
        <v>2</v>
      </c>
      <c r="PU296">
        <v>0</v>
      </c>
      <c r="PV296">
        <v>0</v>
      </c>
      <c r="PW296">
        <v>0</v>
      </c>
      <c r="PX296">
        <v>0</v>
      </c>
      <c r="PY296">
        <v>0</v>
      </c>
      <c r="PZ296">
        <v>0</v>
      </c>
      <c r="QA296">
        <v>1</v>
      </c>
      <c r="QB296">
        <v>0</v>
      </c>
      <c r="QC296">
        <v>0</v>
      </c>
      <c r="QD296">
        <v>0</v>
      </c>
      <c r="QE296">
        <v>0</v>
      </c>
      <c r="QF296">
        <v>0</v>
      </c>
      <c r="QG296">
        <v>0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1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</row>
    <row r="297" spans="2:467" hidden="1" x14ac:dyDescent="0.4">
      <c r="B297" t="str">
        <f>"9784065262498"</f>
        <v>9784065262498</v>
      </c>
      <c r="C297" t="s">
        <v>1394</v>
      </c>
      <c r="D297" t="s">
        <v>1395</v>
      </c>
      <c r="E297" t="s">
        <v>1396</v>
      </c>
      <c r="G297" t="s">
        <v>548</v>
      </c>
      <c r="H297" t="str">
        <f>"0242"</f>
        <v>0242</v>
      </c>
      <c r="I297" t="s">
        <v>481</v>
      </c>
      <c r="J297" t="s">
        <v>482</v>
      </c>
      <c r="K297" t="s">
        <v>545</v>
      </c>
      <c r="L297" s="1">
        <v>44853</v>
      </c>
      <c r="M297">
        <v>1100</v>
      </c>
      <c r="N297" t="str">
        <f>"421"</f>
        <v>421</v>
      </c>
      <c r="P297">
        <v>13</v>
      </c>
      <c r="Q297">
        <v>11</v>
      </c>
      <c r="R297">
        <v>0</v>
      </c>
      <c r="S297">
        <v>0</v>
      </c>
      <c r="T297">
        <v>1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1</v>
      </c>
      <c r="BC297">
        <v>0</v>
      </c>
      <c r="BD297">
        <v>0</v>
      </c>
      <c r="BE297">
        <v>0</v>
      </c>
      <c r="BF297">
        <v>0</v>
      </c>
      <c r="BG297">
        <v>1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2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1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2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1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1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1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  <c r="NG297">
        <v>0</v>
      </c>
      <c r="NH297">
        <v>0</v>
      </c>
      <c r="NI297">
        <v>0</v>
      </c>
      <c r="NJ297">
        <v>0</v>
      </c>
      <c r="NK297">
        <v>0</v>
      </c>
      <c r="NL297">
        <v>1</v>
      </c>
      <c r="NM297">
        <v>0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1</v>
      </c>
      <c r="PM297">
        <v>0</v>
      </c>
      <c r="PN297">
        <v>0</v>
      </c>
      <c r="PO297">
        <v>0</v>
      </c>
      <c r="PP297">
        <v>0</v>
      </c>
      <c r="PQ297">
        <v>0</v>
      </c>
      <c r="PR297">
        <v>0</v>
      </c>
      <c r="PS297">
        <v>0</v>
      </c>
      <c r="PT297">
        <v>0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</row>
    <row r="298" spans="2:467" hidden="1" x14ac:dyDescent="0.4">
      <c r="B298" t="str">
        <f>"9784062579513"</f>
        <v>9784062579513</v>
      </c>
      <c r="C298" t="s">
        <v>1402</v>
      </c>
      <c r="D298" t="s">
        <v>1403</v>
      </c>
      <c r="E298" t="s">
        <v>1404</v>
      </c>
      <c r="G298" t="s">
        <v>548</v>
      </c>
      <c r="H298" t="str">
        <f>"0240"</f>
        <v>0240</v>
      </c>
      <c r="I298" t="s">
        <v>481</v>
      </c>
      <c r="J298" t="s">
        <v>482</v>
      </c>
      <c r="K298" t="s">
        <v>703</v>
      </c>
      <c r="L298" s="1">
        <v>42356</v>
      </c>
      <c r="M298">
        <v>1000</v>
      </c>
      <c r="N298" t="str">
        <f>"407"</f>
        <v>407</v>
      </c>
      <c r="P298">
        <v>13</v>
      </c>
      <c r="Q298">
        <v>11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1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2</v>
      </c>
      <c r="CI298">
        <v>2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1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1</v>
      </c>
      <c r="DE298">
        <v>0</v>
      </c>
      <c r="DF298">
        <v>1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1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1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1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1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0</v>
      </c>
      <c r="MS298">
        <v>0</v>
      </c>
      <c r="MT298">
        <v>0</v>
      </c>
      <c r="MU298">
        <v>0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0</v>
      </c>
      <c r="NK298">
        <v>0</v>
      </c>
      <c r="NL298">
        <v>0</v>
      </c>
      <c r="NM298">
        <v>0</v>
      </c>
      <c r="NN298">
        <v>0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0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0</v>
      </c>
      <c r="PB298">
        <v>0</v>
      </c>
      <c r="PC298">
        <v>0</v>
      </c>
      <c r="PD298">
        <v>0</v>
      </c>
      <c r="PE298">
        <v>0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0</v>
      </c>
      <c r="PL298">
        <v>0</v>
      </c>
      <c r="PM298">
        <v>0</v>
      </c>
      <c r="PN298">
        <v>0</v>
      </c>
      <c r="PO298">
        <v>0</v>
      </c>
      <c r="PP298">
        <v>0</v>
      </c>
      <c r="PQ298">
        <v>0</v>
      </c>
      <c r="PR298">
        <v>0</v>
      </c>
      <c r="PS298">
        <v>0</v>
      </c>
      <c r="PT298">
        <v>0</v>
      </c>
      <c r="PU298">
        <v>0</v>
      </c>
      <c r="PV298">
        <v>0</v>
      </c>
      <c r="PW298">
        <v>0</v>
      </c>
      <c r="PX298">
        <v>0</v>
      </c>
      <c r="PY298">
        <v>0</v>
      </c>
      <c r="PZ298">
        <v>0</v>
      </c>
      <c r="QA298">
        <v>0</v>
      </c>
      <c r="QB298">
        <v>0</v>
      </c>
      <c r="QC298">
        <v>0</v>
      </c>
      <c r="QD298">
        <v>0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</row>
    <row r="299" spans="2:467" x14ac:dyDescent="0.4">
      <c r="B299" t="str">
        <f>"9784044000240"</f>
        <v>9784044000240</v>
      </c>
      <c r="C299" t="s">
        <v>1408</v>
      </c>
      <c r="D299" t="s">
        <v>1409</v>
      </c>
      <c r="E299" t="s">
        <v>1410</v>
      </c>
      <c r="G299" t="s">
        <v>597</v>
      </c>
      <c r="H299" t="str">
        <f>"0193"</f>
        <v>0193</v>
      </c>
      <c r="I299" t="s">
        <v>481</v>
      </c>
      <c r="J299" t="s">
        <v>487</v>
      </c>
      <c r="K299" t="s">
        <v>488</v>
      </c>
      <c r="L299" s="1">
        <v>44915</v>
      </c>
      <c r="M299">
        <v>1400</v>
      </c>
      <c r="N299" t="str">
        <f>"913.34"</f>
        <v>913.34</v>
      </c>
      <c r="P299">
        <v>13</v>
      </c>
      <c r="Q299">
        <v>11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1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1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2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1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1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1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1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</v>
      </c>
      <c r="MU299">
        <v>0</v>
      </c>
      <c r="MV299">
        <v>1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2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1</v>
      </c>
      <c r="ON299">
        <v>0</v>
      </c>
      <c r="OO299">
        <v>0</v>
      </c>
      <c r="OP299">
        <v>0</v>
      </c>
      <c r="OQ299">
        <v>0</v>
      </c>
      <c r="OR299">
        <v>0</v>
      </c>
      <c r="OS299">
        <v>0</v>
      </c>
      <c r="OT299">
        <v>0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0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1</v>
      </c>
      <c r="PL299">
        <v>0</v>
      </c>
      <c r="PM299">
        <v>0</v>
      </c>
      <c r="PN299">
        <v>0</v>
      </c>
      <c r="PO299">
        <v>0</v>
      </c>
      <c r="PP299">
        <v>0</v>
      </c>
      <c r="PQ299">
        <v>0</v>
      </c>
      <c r="PR299">
        <v>0</v>
      </c>
      <c r="PS299">
        <v>0</v>
      </c>
      <c r="PT299">
        <v>0</v>
      </c>
      <c r="PU299">
        <v>0</v>
      </c>
      <c r="PV299">
        <v>0</v>
      </c>
      <c r="PW299">
        <v>0</v>
      </c>
      <c r="PX299">
        <v>0</v>
      </c>
      <c r="PY299">
        <v>0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</row>
    <row r="300" spans="2:467" hidden="1" x14ac:dyDescent="0.4">
      <c r="B300" t="str">
        <f>"9784480075154"</f>
        <v>9784480075154</v>
      </c>
      <c r="C300" t="s">
        <v>1422</v>
      </c>
      <c r="D300" t="s">
        <v>1423</v>
      </c>
      <c r="E300">
        <v>1691</v>
      </c>
      <c r="G300" t="s">
        <v>501</v>
      </c>
      <c r="H300" t="str">
        <f>"0236"</f>
        <v>0236</v>
      </c>
      <c r="I300" t="s">
        <v>481</v>
      </c>
      <c r="J300" t="s">
        <v>482</v>
      </c>
      <c r="K300" t="s">
        <v>505</v>
      </c>
      <c r="L300" s="1">
        <v>44875</v>
      </c>
      <c r="M300">
        <v>860</v>
      </c>
      <c r="N300" t="str">
        <f>"368.6"</f>
        <v>368.6</v>
      </c>
      <c r="P300">
        <v>13</v>
      </c>
      <c r="Q300">
        <v>11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2</v>
      </c>
      <c r="CI300">
        <v>1</v>
      </c>
      <c r="CJ300">
        <v>1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1</v>
      </c>
      <c r="DZ300">
        <v>0</v>
      </c>
      <c r="EA300">
        <v>0</v>
      </c>
      <c r="EB300">
        <v>0</v>
      </c>
      <c r="EC300">
        <v>0</v>
      </c>
      <c r="ED300">
        <v>1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1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1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2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0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0</v>
      </c>
      <c r="PT300">
        <v>0</v>
      </c>
      <c r="PU300">
        <v>0</v>
      </c>
      <c r="PV300">
        <v>1</v>
      </c>
      <c r="PW300">
        <v>0</v>
      </c>
      <c r="PX300">
        <v>0</v>
      </c>
      <c r="PY300">
        <v>0</v>
      </c>
      <c r="PZ300">
        <v>1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</row>
    <row r="301" spans="2:467" x14ac:dyDescent="0.4">
      <c r="B301" t="str">
        <f>"9784569901886"</f>
        <v>9784569901886</v>
      </c>
      <c r="C301" t="s">
        <v>1424</v>
      </c>
      <c r="D301" t="s">
        <v>583</v>
      </c>
      <c r="E301" t="s">
        <v>1425</v>
      </c>
      <c r="G301" t="s">
        <v>717</v>
      </c>
      <c r="H301" t="str">
        <f>"0110"</f>
        <v>0110</v>
      </c>
      <c r="I301" t="s">
        <v>481</v>
      </c>
      <c r="J301" t="s">
        <v>487</v>
      </c>
      <c r="K301" t="s">
        <v>483</v>
      </c>
      <c r="L301" s="1">
        <v>44536</v>
      </c>
      <c r="M301">
        <v>680</v>
      </c>
      <c r="N301" t="str">
        <f>"914.6"</f>
        <v>914.6</v>
      </c>
      <c r="P301">
        <v>13</v>
      </c>
      <c r="Q301">
        <v>11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1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1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1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1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2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1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0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2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0</v>
      </c>
      <c r="OR301">
        <v>0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1</v>
      </c>
      <c r="OY301">
        <v>0</v>
      </c>
      <c r="OZ301">
        <v>0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1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1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</row>
    <row r="302" spans="2:467" x14ac:dyDescent="0.4">
      <c r="B302" t="str">
        <f>"9784309467726"</f>
        <v>9784309467726</v>
      </c>
      <c r="C302" t="s">
        <v>1441</v>
      </c>
      <c r="D302" t="s">
        <v>1442</v>
      </c>
      <c r="E302" t="s">
        <v>1443</v>
      </c>
      <c r="G302" t="s">
        <v>1143</v>
      </c>
      <c r="H302" t="str">
        <f>"0110"</f>
        <v>0110</v>
      </c>
      <c r="I302" t="s">
        <v>481</v>
      </c>
      <c r="J302" t="s">
        <v>487</v>
      </c>
      <c r="K302" t="s">
        <v>483</v>
      </c>
      <c r="L302" s="1">
        <v>44901</v>
      </c>
      <c r="M302">
        <v>900</v>
      </c>
      <c r="N302" t="str">
        <f>"100"</f>
        <v>100</v>
      </c>
      <c r="P302">
        <v>12</v>
      </c>
      <c r="Q302">
        <v>11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1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1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2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1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1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1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1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1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1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</v>
      </c>
      <c r="OZ302">
        <v>0</v>
      </c>
      <c r="PA302">
        <v>0</v>
      </c>
      <c r="PB302">
        <v>0</v>
      </c>
      <c r="PC302">
        <v>0</v>
      </c>
      <c r="PD302">
        <v>0</v>
      </c>
      <c r="PE302">
        <v>0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1</v>
      </c>
      <c r="PL302">
        <v>0</v>
      </c>
      <c r="PM302">
        <v>0</v>
      </c>
      <c r="PN302">
        <v>0</v>
      </c>
      <c r="PO302">
        <v>0</v>
      </c>
      <c r="PP302">
        <v>0</v>
      </c>
      <c r="PQ302">
        <v>0</v>
      </c>
      <c r="PR302">
        <v>0</v>
      </c>
      <c r="PS302">
        <v>0</v>
      </c>
      <c r="PT302">
        <v>0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1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</row>
    <row r="303" spans="2:467" hidden="1" x14ac:dyDescent="0.4">
      <c r="B303" t="str">
        <f>"9784065137437"</f>
        <v>9784065137437</v>
      </c>
      <c r="C303" t="s">
        <v>1465</v>
      </c>
      <c r="D303" t="s">
        <v>1466</v>
      </c>
      <c r="E303" t="s">
        <v>1467</v>
      </c>
      <c r="F303" t="s">
        <v>1468</v>
      </c>
      <c r="G303" t="s">
        <v>548</v>
      </c>
      <c r="H303" t="str">
        <f>"0245"</f>
        <v>0245</v>
      </c>
      <c r="I303" t="s">
        <v>481</v>
      </c>
      <c r="J303" t="s">
        <v>482</v>
      </c>
      <c r="K303" t="s">
        <v>593</v>
      </c>
      <c r="L303" s="1">
        <v>44244</v>
      </c>
      <c r="M303">
        <v>2000</v>
      </c>
      <c r="N303" t="str">
        <f>"460"</f>
        <v>460</v>
      </c>
      <c r="P303">
        <v>12</v>
      </c>
      <c r="Q303">
        <v>11</v>
      </c>
      <c r="R303">
        <v>0</v>
      </c>
      <c r="S303">
        <v>0</v>
      </c>
      <c r="T303">
        <v>2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1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1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1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1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1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1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1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1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1</v>
      </c>
      <c r="NJ303">
        <v>0</v>
      </c>
      <c r="NK303">
        <v>0</v>
      </c>
      <c r="NL303">
        <v>0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1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</row>
    <row r="304" spans="2:467" hidden="1" x14ac:dyDescent="0.4">
      <c r="B304" t="str">
        <f>"9784022951823"</f>
        <v>9784022951823</v>
      </c>
      <c r="C304" t="s">
        <v>1469</v>
      </c>
      <c r="D304" t="s">
        <v>622</v>
      </c>
      <c r="E304">
        <v>871</v>
      </c>
      <c r="G304" t="s">
        <v>498</v>
      </c>
      <c r="H304" t="str">
        <f>"0237"</f>
        <v>0237</v>
      </c>
      <c r="I304" t="s">
        <v>481</v>
      </c>
      <c r="J304" t="s">
        <v>482</v>
      </c>
      <c r="K304" t="s">
        <v>569</v>
      </c>
      <c r="L304" s="1">
        <v>44755</v>
      </c>
      <c r="M304">
        <v>810</v>
      </c>
      <c r="N304" t="str">
        <f>"372.1"</f>
        <v>372.1</v>
      </c>
      <c r="P304">
        <v>12</v>
      </c>
      <c r="Q304">
        <v>11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1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1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1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1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2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1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1</v>
      </c>
      <c r="NZ304">
        <v>0</v>
      </c>
      <c r="OA304">
        <v>0</v>
      </c>
      <c r="OB304">
        <v>0</v>
      </c>
      <c r="OC304">
        <v>0</v>
      </c>
      <c r="OD304">
        <v>1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1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0</v>
      </c>
      <c r="PL304">
        <v>0</v>
      </c>
      <c r="PM304">
        <v>0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0</v>
      </c>
      <c r="QS304">
        <v>0</v>
      </c>
      <c r="QT304">
        <v>1</v>
      </c>
      <c r="QU304">
        <v>0</v>
      </c>
      <c r="QV304">
        <v>0</v>
      </c>
      <c r="QW304">
        <v>0</v>
      </c>
      <c r="QX304">
        <v>0</v>
      </c>
      <c r="QY304">
        <v>0</v>
      </c>
    </row>
    <row r="305" spans="2:467" x14ac:dyDescent="0.4">
      <c r="B305" t="str">
        <f>"9784309419350"</f>
        <v>9784309419350</v>
      </c>
      <c r="C305" t="s">
        <v>1477</v>
      </c>
      <c r="D305" t="s">
        <v>1478</v>
      </c>
      <c r="E305" t="s">
        <v>1479</v>
      </c>
      <c r="G305" t="s">
        <v>1143</v>
      </c>
      <c r="H305" t="str">
        <f>"0193"</f>
        <v>0193</v>
      </c>
      <c r="I305" t="s">
        <v>481</v>
      </c>
      <c r="J305" t="s">
        <v>487</v>
      </c>
      <c r="K305" t="s">
        <v>488</v>
      </c>
      <c r="L305" s="1">
        <v>44932</v>
      </c>
      <c r="M305">
        <v>680</v>
      </c>
      <c r="N305" t="str">
        <f>"913.6"</f>
        <v>913.6</v>
      </c>
      <c r="P305">
        <v>12</v>
      </c>
      <c r="Q305">
        <v>11</v>
      </c>
      <c r="R305">
        <v>0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1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1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1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1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1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2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1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1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1</v>
      </c>
      <c r="PL305">
        <v>0</v>
      </c>
      <c r="PM305">
        <v>1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</row>
    <row r="306" spans="2:467" hidden="1" x14ac:dyDescent="0.4">
      <c r="B306" t="str">
        <f>"9784121027191"</f>
        <v>9784121027191</v>
      </c>
      <c r="C306" t="s">
        <v>1484</v>
      </c>
      <c r="D306" t="s">
        <v>1485</v>
      </c>
      <c r="E306">
        <v>2719</v>
      </c>
      <c r="G306" t="s">
        <v>540</v>
      </c>
      <c r="H306" t="str">
        <f>"1221"</f>
        <v>1221</v>
      </c>
      <c r="I306" t="s">
        <v>541</v>
      </c>
      <c r="J306" t="s">
        <v>482</v>
      </c>
      <c r="K306" t="s">
        <v>620</v>
      </c>
      <c r="L306" s="1">
        <v>44853</v>
      </c>
      <c r="M306">
        <v>840</v>
      </c>
      <c r="N306" t="str">
        <f>"319.1"</f>
        <v>319.1</v>
      </c>
      <c r="P306">
        <v>12</v>
      </c>
      <c r="Q306">
        <v>11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1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1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2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1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1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1</v>
      </c>
      <c r="JN306">
        <v>0</v>
      </c>
      <c r="JO306">
        <v>0</v>
      </c>
      <c r="JP306">
        <v>1</v>
      </c>
      <c r="JQ306">
        <v>1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1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0</v>
      </c>
      <c r="PA306">
        <v>0</v>
      </c>
      <c r="PB306">
        <v>0</v>
      </c>
      <c r="PC306">
        <v>0</v>
      </c>
      <c r="PD306">
        <v>0</v>
      </c>
      <c r="PE306">
        <v>0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1</v>
      </c>
      <c r="PL306">
        <v>0</v>
      </c>
      <c r="PM306">
        <v>0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1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</row>
    <row r="307" spans="2:467" hidden="1" x14ac:dyDescent="0.4">
      <c r="B307" t="str">
        <f>"9784480075024"</f>
        <v>9784480075024</v>
      </c>
      <c r="C307" t="s">
        <v>1490</v>
      </c>
      <c r="D307" t="s">
        <v>786</v>
      </c>
      <c r="E307">
        <v>1673</v>
      </c>
      <c r="G307" t="s">
        <v>501</v>
      </c>
      <c r="H307" t="str">
        <f>"0210"</f>
        <v>0210</v>
      </c>
      <c r="I307" t="s">
        <v>481</v>
      </c>
      <c r="J307" t="s">
        <v>482</v>
      </c>
      <c r="K307" t="s">
        <v>483</v>
      </c>
      <c r="L307" s="1">
        <v>44781</v>
      </c>
      <c r="M307">
        <v>940</v>
      </c>
      <c r="N307" t="str">
        <f>"309.021"</f>
        <v>309.021</v>
      </c>
      <c r="P307">
        <v>12</v>
      </c>
      <c r="Q307">
        <v>11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1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1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1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1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1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1</v>
      </c>
      <c r="JN307">
        <v>0</v>
      </c>
      <c r="JO307">
        <v>0</v>
      </c>
      <c r="JP307">
        <v>1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1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2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1</v>
      </c>
      <c r="OY307">
        <v>0</v>
      </c>
      <c r="OZ307">
        <v>0</v>
      </c>
      <c r="PA307">
        <v>0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</v>
      </c>
      <c r="QC307">
        <v>0</v>
      </c>
      <c r="QD307">
        <v>0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1</v>
      </c>
      <c r="QY307">
        <v>0</v>
      </c>
    </row>
    <row r="308" spans="2:467" x14ac:dyDescent="0.4">
      <c r="B308" t="str">
        <f>"9784003840016"</f>
        <v>9784003840016</v>
      </c>
      <c r="C308" t="s">
        <v>1500</v>
      </c>
      <c r="D308" t="s">
        <v>1501</v>
      </c>
      <c r="E308" t="s">
        <v>1502</v>
      </c>
      <c r="G308" t="s">
        <v>521</v>
      </c>
      <c r="H308" t="str">
        <f>"0122"</f>
        <v>0122</v>
      </c>
      <c r="I308" t="s">
        <v>481</v>
      </c>
      <c r="J308" t="s">
        <v>487</v>
      </c>
      <c r="K308" t="s">
        <v>579</v>
      </c>
      <c r="L308" s="1">
        <v>44761</v>
      </c>
      <c r="M308">
        <v>900</v>
      </c>
      <c r="N308" t="str">
        <f>"332.06"</f>
        <v>332.06</v>
      </c>
      <c r="P308">
        <v>12</v>
      </c>
      <c r="Q308">
        <v>11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1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1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1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2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1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1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0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1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0</v>
      </c>
      <c r="OE308">
        <v>0</v>
      </c>
      <c r="OF308">
        <v>0</v>
      </c>
      <c r="OG308">
        <v>1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1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1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1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</row>
    <row r="309" spans="2:467" x14ac:dyDescent="0.4">
      <c r="B309" t="str">
        <f>"9784101001555"</f>
        <v>9784101001555</v>
      </c>
      <c r="C309" t="s">
        <v>1509</v>
      </c>
      <c r="D309" t="s">
        <v>1071</v>
      </c>
      <c r="E309" t="s">
        <v>1510</v>
      </c>
      <c r="G309" t="s">
        <v>516</v>
      </c>
      <c r="H309" t="str">
        <f>"0193"</f>
        <v>0193</v>
      </c>
      <c r="I309" t="s">
        <v>481</v>
      </c>
      <c r="J309" t="s">
        <v>487</v>
      </c>
      <c r="K309" t="s">
        <v>488</v>
      </c>
      <c r="L309" s="1">
        <v>38412</v>
      </c>
      <c r="M309">
        <v>850</v>
      </c>
      <c r="N309" t="str">
        <f>"913.6"</f>
        <v>913.6</v>
      </c>
      <c r="P309">
        <v>12</v>
      </c>
      <c r="Q309">
        <v>11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1</v>
      </c>
      <c r="CI309">
        <v>2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1</v>
      </c>
      <c r="GJ309">
        <v>0</v>
      </c>
      <c r="GK309">
        <v>0</v>
      </c>
      <c r="GL309">
        <v>0</v>
      </c>
      <c r="GM309">
        <v>0</v>
      </c>
      <c r="GN309">
        <v>1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1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1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1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1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0</v>
      </c>
      <c r="NT309">
        <v>0</v>
      </c>
      <c r="NU309">
        <v>0</v>
      </c>
      <c r="NV309">
        <v>0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1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1</v>
      </c>
      <c r="QY309">
        <v>0</v>
      </c>
    </row>
    <row r="310" spans="2:467" x14ac:dyDescent="0.4">
      <c r="B310" t="str">
        <f>"9784101002446"</f>
        <v>9784101002446</v>
      </c>
      <c r="C310" t="s">
        <v>1513</v>
      </c>
      <c r="D310" t="s">
        <v>1514</v>
      </c>
      <c r="E310" t="s">
        <v>1515</v>
      </c>
      <c r="G310" t="s">
        <v>516</v>
      </c>
      <c r="H310" t="str">
        <f>"0193"</f>
        <v>0193</v>
      </c>
      <c r="I310" t="s">
        <v>481</v>
      </c>
      <c r="J310" t="s">
        <v>487</v>
      </c>
      <c r="K310" t="s">
        <v>488</v>
      </c>
      <c r="L310" s="1">
        <v>44708</v>
      </c>
      <c r="M310">
        <v>360</v>
      </c>
      <c r="N310" t="str">
        <f>"913.6"</f>
        <v>913.6</v>
      </c>
      <c r="P310">
        <v>12</v>
      </c>
      <c r="Q310">
        <v>11</v>
      </c>
      <c r="R310">
        <v>0</v>
      </c>
      <c r="S310">
        <v>1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1</v>
      </c>
      <c r="CI310">
        <v>1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1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1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1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1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1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2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0</v>
      </c>
      <c r="PM310">
        <v>1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</row>
    <row r="311" spans="2:467" x14ac:dyDescent="0.4">
      <c r="B311" t="str">
        <f>"9784101355511"</f>
        <v>9784101355511</v>
      </c>
      <c r="C311" t="s">
        <v>1522</v>
      </c>
      <c r="D311" t="s">
        <v>1523</v>
      </c>
      <c r="E311" t="s">
        <v>1524</v>
      </c>
      <c r="G311" t="s">
        <v>516</v>
      </c>
      <c r="H311" t="str">
        <f>"0193"</f>
        <v>0193</v>
      </c>
      <c r="I311" t="s">
        <v>481</v>
      </c>
      <c r="J311" t="s">
        <v>487</v>
      </c>
      <c r="K311" t="s">
        <v>488</v>
      </c>
      <c r="L311" s="1">
        <v>39669</v>
      </c>
      <c r="M311">
        <v>750</v>
      </c>
      <c r="N311" t="str">
        <f>"913.6"</f>
        <v>913.6</v>
      </c>
      <c r="P311">
        <v>12</v>
      </c>
      <c r="Q311">
        <v>11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1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1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1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2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1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1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1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1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1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1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  <c r="OO311">
        <v>1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</row>
    <row r="312" spans="2:467" x14ac:dyDescent="0.4">
      <c r="B312" t="str">
        <f>"9784150503918"</f>
        <v>9784150503918</v>
      </c>
      <c r="C312" t="s">
        <v>1525</v>
      </c>
      <c r="D312" t="s">
        <v>1526</v>
      </c>
      <c r="E312" t="s">
        <v>1527</v>
      </c>
      <c r="G312" t="s">
        <v>963</v>
      </c>
      <c r="H312" t="str">
        <f>"0133"</f>
        <v>0133</v>
      </c>
      <c r="I312" t="s">
        <v>481</v>
      </c>
      <c r="J312" t="s">
        <v>487</v>
      </c>
      <c r="K312" t="s">
        <v>537</v>
      </c>
      <c r="L312" s="1">
        <v>41510</v>
      </c>
      <c r="M312">
        <v>1000</v>
      </c>
      <c r="N312" t="str">
        <f>"331"</f>
        <v>331</v>
      </c>
      <c r="P312">
        <v>12</v>
      </c>
      <c r="Q312">
        <v>11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1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1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1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1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1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1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2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1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1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0</v>
      </c>
      <c r="NJ312">
        <v>0</v>
      </c>
      <c r="NK312">
        <v>0</v>
      </c>
      <c r="NL312">
        <v>0</v>
      </c>
      <c r="NM312">
        <v>0</v>
      </c>
      <c r="NN312">
        <v>0</v>
      </c>
      <c r="NO312">
        <v>0</v>
      </c>
      <c r="NP312">
        <v>0</v>
      </c>
      <c r="NQ312">
        <v>0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1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1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</row>
    <row r="313" spans="2:467" hidden="1" x14ac:dyDescent="0.4">
      <c r="B313" t="str">
        <f>"9784334046293"</f>
        <v>9784334046293</v>
      </c>
      <c r="C313" t="s">
        <v>1528</v>
      </c>
      <c r="D313" t="s">
        <v>1529</v>
      </c>
      <c r="E313">
        <v>1222</v>
      </c>
      <c r="G313" t="s">
        <v>676</v>
      </c>
      <c r="H313" t="str">
        <f>"0236"</f>
        <v>0236</v>
      </c>
      <c r="I313" t="s">
        <v>481</v>
      </c>
      <c r="J313" t="s">
        <v>482</v>
      </c>
      <c r="K313" t="s">
        <v>505</v>
      </c>
      <c r="L313" s="1">
        <v>44818</v>
      </c>
      <c r="M313">
        <v>800</v>
      </c>
      <c r="N313" t="str">
        <f>"361.45"</f>
        <v>361.45</v>
      </c>
      <c r="P313">
        <v>12</v>
      </c>
      <c r="Q313">
        <v>11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1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1</v>
      </c>
      <c r="EW313">
        <v>1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1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1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2</v>
      </c>
      <c r="JN313">
        <v>0</v>
      </c>
      <c r="JO313">
        <v>0</v>
      </c>
      <c r="JP313">
        <v>0</v>
      </c>
      <c r="JQ313">
        <v>0</v>
      </c>
      <c r="JR313">
        <v>1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1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1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0</v>
      </c>
      <c r="NN313">
        <v>0</v>
      </c>
      <c r="NO313">
        <v>0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1</v>
      </c>
      <c r="OU313">
        <v>0</v>
      </c>
      <c r="OV313">
        <v>0</v>
      </c>
      <c r="OW313">
        <v>0</v>
      </c>
      <c r="OX313">
        <v>0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</v>
      </c>
      <c r="PQ313">
        <v>0</v>
      </c>
      <c r="PR313">
        <v>0</v>
      </c>
      <c r="PS313">
        <v>0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0</v>
      </c>
      <c r="QV313">
        <v>0</v>
      </c>
      <c r="QW313">
        <v>0</v>
      </c>
      <c r="QX313">
        <v>0</v>
      </c>
      <c r="QY313">
        <v>0</v>
      </c>
    </row>
    <row r="314" spans="2:467" hidden="1" x14ac:dyDescent="0.4">
      <c r="B314" t="str">
        <f>"9784004319429"</f>
        <v>9784004319429</v>
      </c>
      <c r="C314" t="s">
        <v>1545</v>
      </c>
      <c r="D314" t="s">
        <v>1546</v>
      </c>
      <c r="E314" t="s">
        <v>1547</v>
      </c>
      <c r="G314" t="s">
        <v>521</v>
      </c>
      <c r="H314" t="str">
        <f>"0221"</f>
        <v>0221</v>
      </c>
      <c r="I314" t="s">
        <v>481</v>
      </c>
      <c r="J314" t="s">
        <v>482</v>
      </c>
      <c r="K314" t="s">
        <v>620</v>
      </c>
      <c r="L314" s="1">
        <v>44826</v>
      </c>
      <c r="M314">
        <v>880</v>
      </c>
      <c r="N314" t="str">
        <f>"210.4"</f>
        <v>210.4</v>
      </c>
      <c r="P314">
        <v>11</v>
      </c>
      <c r="Q314">
        <v>11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1</v>
      </c>
      <c r="CI314">
        <v>1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1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1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1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1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1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1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</v>
      </c>
      <c r="MU314">
        <v>0</v>
      </c>
      <c r="MV314">
        <v>1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  <c r="NK314">
        <v>0</v>
      </c>
      <c r="NL314">
        <v>0</v>
      </c>
      <c r="NM314">
        <v>0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1</v>
      </c>
      <c r="NU314">
        <v>0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0</v>
      </c>
      <c r="OX314">
        <v>0</v>
      </c>
      <c r="OY314">
        <v>0</v>
      </c>
      <c r="OZ314">
        <v>0</v>
      </c>
      <c r="PA314">
        <v>0</v>
      </c>
      <c r="PB314">
        <v>0</v>
      </c>
      <c r="PC314">
        <v>0</v>
      </c>
      <c r="PD314">
        <v>0</v>
      </c>
      <c r="PE314">
        <v>0</v>
      </c>
      <c r="PF314">
        <v>0</v>
      </c>
      <c r="PG314">
        <v>0</v>
      </c>
      <c r="PH314">
        <v>0</v>
      </c>
      <c r="PI314">
        <v>0</v>
      </c>
      <c r="PJ314">
        <v>0</v>
      </c>
      <c r="PK314">
        <v>0</v>
      </c>
      <c r="PL314">
        <v>0</v>
      </c>
      <c r="PM314">
        <v>0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1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</row>
    <row r="315" spans="2:467" hidden="1" x14ac:dyDescent="0.4">
      <c r="B315" t="str">
        <f>"9784413046626"</f>
        <v>9784413046626</v>
      </c>
      <c r="C315" t="s">
        <v>1550</v>
      </c>
      <c r="D315" t="s">
        <v>1551</v>
      </c>
      <c r="E315" t="s">
        <v>1552</v>
      </c>
      <c r="G315" t="s">
        <v>779</v>
      </c>
      <c r="H315" t="str">
        <f>"0230"</f>
        <v>0230</v>
      </c>
      <c r="I315" t="s">
        <v>481</v>
      </c>
      <c r="J315" t="s">
        <v>482</v>
      </c>
      <c r="K315" t="s">
        <v>600</v>
      </c>
      <c r="L315" s="1">
        <v>44936</v>
      </c>
      <c r="M315">
        <v>980</v>
      </c>
      <c r="N315" t="str">
        <f>"519.234"</f>
        <v>519.234</v>
      </c>
      <c r="P315">
        <v>11</v>
      </c>
      <c r="Q315">
        <v>11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1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1</v>
      </c>
      <c r="DZ315">
        <v>0</v>
      </c>
      <c r="EA315">
        <v>0</v>
      </c>
      <c r="EB315">
        <v>0</v>
      </c>
      <c r="EC315">
        <v>0</v>
      </c>
      <c r="ED315">
        <v>1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1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1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1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1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1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1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</v>
      </c>
      <c r="NS315">
        <v>0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1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0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</row>
    <row r="316" spans="2:467" hidden="1" x14ac:dyDescent="0.4">
      <c r="B316" t="str">
        <f>"9784087212471"</f>
        <v>9784087212471</v>
      </c>
      <c r="C316" t="s">
        <v>1556</v>
      </c>
      <c r="D316" t="s">
        <v>1557</v>
      </c>
      <c r="E316" t="s">
        <v>1558</v>
      </c>
      <c r="G316" t="s">
        <v>536</v>
      </c>
      <c r="H316" t="str">
        <f>"0295"</f>
        <v>0295</v>
      </c>
      <c r="I316" t="s">
        <v>481</v>
      </c>
      <c r="J316" t="s">
        <v>482</v>
      </c>
      <c r="K316" t="s">
        <v>509</v>
      </c>
      <c r="L316" s="1">
        <v>44940</v>
      </c>
      <c r="M316">
        <v>1050</v>
      </c>
      <c r="N316" t="str">
        <f>"910.26"</f>
        <v>910.26</v>
      </c>
      <c r="P316">
        <v>11</v>
      </c>
      <c r="Q316">
        <v>11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1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1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1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1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1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1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1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1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0</v>
      </c>
      <c r="NK316">
        <v>0</v>
      </c>
      <c r="NL316">
        <v>0</v>
      </c>
      <c r="NM316">
        <v>0</v>
      </c>
      <c r="NN316">
        <v>0</v>
      </c>
      <c r="NO316">
        <v>0</v>
      </c>
      <c r="NP316">
        <v>0</v>
      </c>
      <c r="NQ316">
        <v>0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1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0</v>
      </c>
      <c r="PL316">
        <v>0</v>
      </c>
      <c r="PM316">
        <v>1</v>
      </c>
      <c r="PN316">
        <v>0</v>
      </c>
      <c r="PO316">
        <v>0</v>
      </c>
      <c r="PP316">
        <v>0</v>
      </c>
      <c r="PQ316">
        <v>0</v>
      </c>
      <c r="PR316">
        <v>0</v>
      </c>
      <c r="PS316">
        <v>0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</row>
    <row r="317" spans="2:467" x14ac:dyDescent="0.4">
      <c r="B317" t="str">
        <f>"9784101209623"</f>
        <v>9784101209623</v>
      </c>
      <c r="C317" t="s">
        <v>1559</v>
      </c>
      <c r="D317" t="s">
        <v>1560</v>
      </c>
      <c r="E317" t="s">
        <v>1561</v>
      </c>
      <c r="G317" t="s">
        <v>516</v>
      </c>
      <c r="H317" t="str">
        <f>"0193"</f>
        <v>0193</v>
      </c>
      <c r="I317" t="s">
        <v>481</v>
      </c>
      <c r="J317" t="s">
        <v>487</v>
      </c>
      <c r="K317" t="s">
        <v>488</v>
      </c>
      <c r="L317" s="1">
        <v>44648</v>
      </c>
      <c r="M317">
        <v>710</v>
      </c>
      <c r="N317" t="str">
        <f>"913.6"</f>
        <v>913.6</v>
      </c>
      <c r="P317">
        <v>11</v>
      </c>
      <c r="Q317">
        <v>11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1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1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1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1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1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1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1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1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1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1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</row>
    <row r="318" spans="2:467" hidden="1" x14ac:dyDescent="0.4">
      <c r="B318" t="str">
        <f>"9784480075109"</f>
        <v>9784480075109</v>
      </c>
      <c r="C318" t="s">
        <v>1573</v>
      </c>
      <c r="D318" t="s">
        <v>1574</v>
      </c>
      <c r="E318">
        <v>1688</v>
      </c>
      <c r="G318" t="s">
        <v>501</v>
      </c>
      <c r="H318" t="str">
        <f>"0231"</f>
        <v>0231</v>
      </c>
      <c r="I318" t="s">
        <v>481</v>
      </c>
      <c r="J318" t="s">
        <v>482</v>
      </c>
      <c r="K318" t="s">
        <v>502</v>
      </c>
      <c r="L318" s="1">
        <v>44845</v>
      </c>
      <c r="M318">
        <v>880</v>
      </c>
      <c r="N318" t="str">
        <f>"309.2"</f>
        <v>309.2</v>
      </c>
      <c r="P318">
        <v>11</v>
      </c>
      <c r="Q318">
        <v>11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1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1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1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1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1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1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1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1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1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  <c r="NK318">
        <v>0</v>
      </c>
      <c r="NL318">
        <v>0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1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1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</v>
      </c>
      <c r="PQ318">
        <v>0</v>
      </c>
      <c r="PR318">
        <v>0</v>
      </c>
      <c r="PS318">
        <v>0</v>
      </c>
      <c r="PT318">
        <v>0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</row>
    <row r="319" spans="2:467" hidden="1" x14ac:dyDescent="0.4">
      <c r="B319" t="str">
        <f>"9784166613670"</f>
        <v>9784166613670</v>
      </c>
      <c r="C319" t="s">
        <v>1582</v>
      </c>
      <c r="D319" t="s">
        <v>1583</v>
      </c>
      <c r="E319">
        <v>1367</v>
      </c>
      <c r="G319" t="s">
        <v>639</v>
      </c>
      <c r="H319" t="str">
        <f>"0295"</f>
        <v>0295</v>
      </c>
      <c r="I319" t="s">
        <v>481</v>
      </c>
      <c r="J319" t="s">
        <v>482</v>
      </c>
      <c r="K319" t="s">
        <v>509</v>
      </c>
      <c r="L319" s="1">
        <v>44728</v>
      </c>
      <c r="M319">
        <v>780</v>
      </c>
      <c r="N319" t="str">
        <f>"304"</f>
        <v>304</v>
      </c>
      <c r="P319">
        <v>11</v>
      </c>
      <c r="Q319">
        <v>11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1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1</v>
      </c>
      <c r="JN319">
        <v>0</v>
      </c>
      <c r="JO319">
        <v>0</v>
      </c>
      <c r="JP319">
        <v>1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1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1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</v>
      </c>
      <c r="NN319">
        <v>0</v>
      </c>
      <c r="NO319">
        <v>0</v>
      </c>
      <c r="NP319">
        <v>0</v>
      </c>
      <c r="NQ319">
        <v>0</v>
      </c>
      <c r="NR319">
        <v>1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1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1</v>
      </c>
      <c r="PC319">
        <v>0</v>
      </c>
      <c r="PD319">
        <v>0</v>
      </c>
      <c r="PE319">
        <v>0</v>
      </c>
      <c r="PF319">
        <v>0</v>
      </c>
      <c r="PG319">
        <v>0</v>
      </c>
      <c r="PH319">
        <v>0</v>
      </c>
      <c r="PI319">
        <v>0</v>
      </c>
      <c r="PJ319">
        <v>0</v>
      </c>
      <c r="PK319">
        <v>0</v>
      </c>
      <c r="PL319">
        <v>0</v>
      </c>
      <c r="PM319">
        <v>0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0</v>
      </c>
      <c r="PT319">
        <v>1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</v>
      </c>
      <c r="QC319">
        <v>1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0</v>
      </c>
      <c r="QJ319">
        <v>0</v>
      </c>
      <c r="QK319">
        <v>1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</row>
    <row r="320" spans="2:467" x14ac:dyDescent="0.4">
      <c r="B320" t="str">
        <f>"9784065296035"</f>
        <v>9784065296035</v>
      </c>
      <c r="C320" t="s">
        <v>1604</v>
      </c>
      <c r="D320" t="s">
        <v>1605</v>
      </c>
      <c r="E320">
        <v>2738</v>
      </c>
      <c r="G320" t="s">
        <v>548</v>
      </c>
      <c r="H320" t="str">
        <f>"0110"</f>
        <v>0110</v>
      </c>
      <c r="I320" t="s">
        <v>481</v>
      </c>
      <c r="J320" t="s">
        <v>487</v>
      </c>
      <c r="K320" t="s">
        <v>483</v>
      </c>
      <c r="L320" s="1">
        <v>44847</v>
      </c>
      <c r="M320">
        <v>1150</v>
      </c>
      <c r="N320" t="str">
        <f>"121.6"</f>
        <v>121.6</v>
      </c>
      <c r="P320">
        <v>11</v>
      </c>
      <c r="Q320">
        <v>11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1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1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1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1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1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1</v>
      </c>
      <c r="JN320">
        <v>0</v>
      </c>
      <c r="JO320">
        <v>0</v>
      </c>
      <c r="JP320">
        <v>0</v>
      </c>
      <c r="JQ320">
        <v>1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1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1</v>
      </c>
      <c r="NS320">
        <v>0</v>
      </c>
      <c r="NT320">
        <v>0</v>
      </c>
      <c r="NU320">
        <v>0</v>
      </c>
      <c r="NV320">
        <v>0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1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1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0</v>
      </c>
      <c r="PU320">
        <v>0</v>
      </c>
      <c r="PV320">
        <v>0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</row>
    <row r="321" spans="2:467" x14ac:dyDescent="0.4">
      <c r="B321" t="str">
        <f>"9784086804790"</f>
        <v>9784086804790</v>
      </c>
      <c r="C321" t="s">
        <v>1610</v>
      </c>
      <c r="D321" t="s">
        <v>1611</v>
      </c>
      <c r="E321" t="s">
        <v>1612</v>
      </c>
      <c r="G321" t="s">
        <v>536</v>
      </c>
      <c r="H321" t="str">
        <f>"0193"</f>
        <v>0193</v>
      </c>
      <c r="I321" t="s">
        <v>481</v>
      </c>
      <c r="J321" t="s">
        <v>487</v>
      </c>
      <c r="K321" t="s">
        <v>488</v>
      </c>
      <c r="L321" s="1">
        <v>44915</v>
      </c>
      <c r="M321">
        <v>630</v>
      </c>
      <c r="N321" t="str">
        <f>"913.6"</f>
        <v>913.6</v>
      </c>
      <c r="P321">
        <v>11</v>
      </c>
      <c r="Q321">
        <v>11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1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1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1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1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1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1</v>
      </c>
      <c r="NA321">
        <v>0</v>
      </c>
      <c r="NB321">
        <v>0</v>
      </c>
      <c r="NC321">
        <v>1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0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1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1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1</v>
      </c>
      <c r="PL321">
        <v>0</v>
      </c>
      <c r="PM321">
        <v>0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</v>
      </c>
      <c r="PV321">
        <v>0</v>
      </c>
      <c r="PW321">
        <v>0</v>
      </c>
      <c r="PX321">
        <v>0</v>
      </c>
      <c r="PY321">
        <v>0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</row>
    <row r="322" spans="2:467" x14ac:dyDescent="0.4">
      <c r="B322" t="str">
        <f>"9784101058252"</f>
        <v>9784101058252</v>
      </c>
      <c r="C322" t="s">
        <v>1618</v>
      </c>
      <c r="D322" t="s">
        <v>1619</v>
      </c>
      <c r="E322" t="s">
        <v>1620</v>
      </c>
      <c r="G322" t="s">
        <v>516</v>
      </c>
      <c r="H322" t="str">
        <f>"0195"</f>
        <v>0195</v>
      </c>
      <c r="I322" t="s">
        <v>481</v>
      </c>
      <c r="J322" t="s">
        <v>487</v>
      </c>
      <c r="K322" t="s">
        <v>509</v>
      </c>
      <c r="L322" s="1">
        <v>39873</v>
      </c>
      <c r="M322">
        <v>520</v>
      </c>
      <c r="N322" t="str">
        <f>"914.6"</f>
        <v>914.6</v>
      </c>
      <c r="P322">
        <v>11</v>
      </c>
      <c r="Q322">
        <v>11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1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</v>
      </c>
      <c r="BS322">
        <v>0</v>
      </c>
      <c r="BT322">
        <v>0</v>
      </c>
      <c r="BU322">
        <v>1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1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1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1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1</v>
      </c>
      <c r="JN322">
        <v>0</v>
      </c>
      <c r="JO322">
        <v>0</v>
      </c>
      <c r="JP322">
        <v>0</v>
      </c>
      <c r="JQ322">
        <v>0</v>
      </c>
      <c r="JR322">
        <v>1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1</v>
      </c>
      <c r="LP322">
        <v>1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1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</v>
      </c>
      <c r="PU322">
        <v>0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</row>
    <row r="323" spans="2:467" x14ac:dyDescent="0.4">
      <c r="B323" t="str">
        <f>"9784062748698"</f>
        <v>9784062748698</v>
      </c>
      <c r="C323" t="s">
        <v>1653</v>
      </c>
      <c r="D323" t="s">
        <v>1071</v>
      </c>
      <c r="E323" t="s">
        <v>1654</v>
      </c>
      <c r="G323" t="s">
        <v>548</v>
      </c>
      <c r="H323" t="str">
        <f>"0193"</f>
        <v>0193</v>
      </c>
      <c r="I323" t="s">
        <v>481</v>
      </c>
      <c r="J323" t="s">
        <v>487</v>
      </c>
      <c r="K323" t="s">
        <v>488</v>
      </c>
      <c r="L323" s="1">
        <v>38231</v>
      </c>
      <c r="M323">
        <v>650</v>
      </c>
      <c r="N323" t="str">
        <f>"913.6"</f>
        <v>913.6</v>
      </c>
      <c r="P323">
        <v>11</v>
      </c>
      <c r="Q323">
        <v>11</v>
      </c>
      <c r="R323">
        <v>0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1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1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1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1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1</v>
      </c>
      <c r="JR323">
        <v>1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1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1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1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1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</row>
    <row r="324" spans="2:467" x14ac:dyDescent="0.4">
      <c r="B324" t="str">
        <f>"9784101287843"</f>
        <v>9784101287843</v>
      </c>
      <c r="C324" t="s">
        <v>1661</v>
      </c>
      <c r="D324" t="s">
        <v>1063</v>
      </c>
      <c r="E324" t="s">
        <v>1662</v>
      </c>
      <c r="G324" t="s">
        <v>516</v>
      </c>
      <c r="H324" t="str">
        <f>"0193"</f>
        <v>0193</v>
      </c>
      <c r="I324" t="s">
        <v>481</v>
      </c>
      <c r="J324" t="s">
        <v>487</v>
      </c>
      <c r="K324" t="s">
        <v>488</v>
      </c>
      <c r="L324" s="1">
        <v>42948</v>
      </c>
      <c r="M324">
        <v>710</v>
      </c>
      <c r="N324" t="str">
        <f>"913.6"</f>
        <v>913.6</v>
      </c>
      <c r="P324">
        <v>11</v>
      </c>
      <c r="Q324">
        <v>11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1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1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1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1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1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1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1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1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1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0</v>
      </c>
      <c r="NL324">
        <v>0</v>
      </c>
      <c r="NM324">
        <v>0</v>
      </c>
      <c r="NN324">
        <v>0</v>
      </c>
      <c r="NO324">
        <v>0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1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0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1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</row>
    <row r="325" spans="2:467" x14ac:dyDescent="0.4">
      <c r="B325" t="str">
        <f>"9784101259635"</f>
        <v>9784101259635</v>
      </c>
      <c r="C325" t="s">
        <v>1664</v>
      </c>
      <c r="D325" t="s">
        <v>880</v>
      </c>
      <c r="E325" t="s">
        <v>1665</v>
      </c>
      <c r="G325" t="s">
        <v>516</v>
      </c>
      <c r="H325" t="str">
        <f>"0193"</f>
        <v>0193</v>
      </c>
      <c r="I325" t="s">
        <v>481</v>
      </c>
      <c r="J325" t="s">
        <v>487</v>
      </c>
      <c r="K325" t="s">
        <v>488</v>
      </c>
      <c r="L325" s="1">
        <v>43824</v>
      </c>
      <c r="M325">
        <v>460</v>
      </c>
      <c r="N325" t="str">
        <f>"913.6"</f>
        <v>913.6</v>
      </c>
      <c r="P325">
        <v>11</v>
      </c>
      <c r="Q325">
        <v>11</v>
      </c>
      <c r="R325">
        <v>0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1</v>
      </c>
      <c r="FP325">
        <v>0</v>
      </c>
      <c r="FQ325">
        <v>0</v>
      </c>
      <c r="FR325">
        <v>0</v>
      </c>
      <c r="FS325">
        <v>0</v>
      </c>
      <c r="FT325">
        <v>1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1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1</v>
      </c>
      <c r="HX325">
        <v>0</v>
      </c>
      <c r="HY325">
        <v>0</v>
      </c>
      <c r="HZ325">
        <v>0</v>
      </c>
      <c r="IA325">
        <v>0</v>
      </c>
      <c r="IB325">
        <v>1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1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1</v>
      </c>
      <c r="LY325">
        <v>0</v>
      </c>
      <c r="LZ325">
        <v>1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1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0</v>
      </c>
      <c r="PZ325">
        <v>0</v>
      </c>
      <c r="QA325">
        <v>1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</row>
    <row r="326" spans="2:467" x14ac:dyDescent="0.4">
      <c r="B326" t="str">
        <f>"9784422100982"</f>
        <v>9784422100982</v>
      </c>
      <c r="C326" t="s">
        <v>633</v>
      </c>
      <c r="D326" t="s">
        <v>634</v>
      </c>
      <c r="G326" t="s">
        <v>635</v>
      </c>
      <c r="H326" t="str">
        <f>"0111"</f>
        <v>0111</v>
      </c>
      <c r="I326" t="s">
        <v>481</v>
      </c>
      <c r="J326" t="s">
        <v>487</v>
      </c>
      <c r="K326" t="s">
        <v>610</v>
      </c>
      <c r="L326" s="1">
        <v>42392</v>
      </c>
      <c r="M326">
        <v>650</v>
      </c>
      <c r="N326" t="str">
        <f>"159"</f>
        <v>159</v>
      </c>
      <c r="P326">
        <v>54</v>
      </c>
      <c r="Q326">
        <v>10</v>
      </c>
      <c r="R326">
        <v>0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9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1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1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1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9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1</v>
      </c>
      <c r="NF326">
        <v>1</v>
      </c>
      <c r="NG326">
        <v>0</v>
      </c>
      <c r="NH326">
        <v>0</v>
      </c>
      <c r="NI326">
        <v>0</v>
      </c>
      <c r="NJ326">
        <v>0</v>
      </c>
      <c r="NK326">
        <v>0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0</v>
      </c>
      <c r="ON326">
        <v>0</v>
      </c>
      <c r="OO326">
        <v>10</v>
      </c>
      <c r="OP326">
        <v>0</v>
      </c>
      <c r="OQ326">
        <v>0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20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</row>
    <row r="327" spans="2:467" x14ac:dyDescent="0.4">
      <c r="B327" t="str">
        <f>"9784041366035"</f>
        <v>9784041366035</v>
      </c>
      <c r="C327" t="s">
        <v>1130</v>
      </c>
      <c r="D327" t="s">
        <v>1131</v>
      </c>
      <c r="E327">
        <v>3749</v>
      </c>
      <c r="G327" t="s">
        <v>597</v>
      </c>
      <c r="H327" t="str">
        <f>"0193"</f>
        <v>0193</v>
      </c>
      <c r="I327" t="s">
        <v>481</v>
      </c>
      <c r="J327" t="s">
        <v>487</v>
      </c>
      <c r="K327" t="s">
        <v>488</v>
      </c>
      <c r="L327" s="1">
        <v>30133</v>
      </c>
      <c r="M327">
        <v>520</v>
      </c>
      <c r="N327" t="str">
        <f>"913.6"</f>
        <v>913.6</v>
      </c>
      <c r="P327">
        <v>17</v>
      </c>
      <c r="Q327">
        <v>10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3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1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3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1</v>
      </c>
      <c r="CR327">
        <v>0</v>
      </c>
      <c r="CS327">
        <v>1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1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1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3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1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0</v>
      </c>
      <c r="NL327">
        <v>0</v>
      </c>
      <c r="NM327">
        <v>0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2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0</v>
      </c>
      <c r="PU327">
        <v>0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</row>
    <row r="328" spans="2:467" hidden="1" x14ac:dyDescent="0.4">
      <c r="B328" t="str">
        <f>"9784087035292"</f>
        <v>9784087035292</v>
      </c>
      <c r="C328" t="s">
        <v>1218</v>
      </c>
      <c r="D328" t="s">
        <v>1219</v>
      </c>
      <c r="G328" t="s">
        <v>536</v>
      </c>
      <c r="H328" t="str">
        <f>"0293"</f>
        <v>0293</v>
      </c>
      <c r="I328" t="s">
        <v>481</v>
      </c>
      <c r="J328" t="s">
        <v>482</v>
      </c>
      <c r="K328" t="s">
        <v>488</v>
      </c>
      <c r="L328" s="1">
        <v>44911</v>
      </c>
      <c r="M328">
        <v>860</v>
      </c>
      <c r="N328" t="str">
        <f>"913.68"</f>
        <v>913.68</v>
      </c>
      <c r="P328">
        <v>15</v>
      </c>
      <c r="Q328">
        <v>10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1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2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1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1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5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0</v>
      </c>
      <c r="MS328">
        <v>0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1</v>
      </c>
      <c r="NF328">
        <v>0</v>
      </c>
      <c r="NG328">
        <v>0</v>
      </c>
      <c r="NH328">
        <v>0</v>
      </c>
      <c r="NI328">
        <v>0</v>
      </c>
      <c r="NJ328">
        <v>0</v>
      </c>
      <c r="NK328">
        <v>0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1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1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0</v>
      </c>
      <c r="PL328">
        <v>0</v>
      </c>
      <c r="PM328">
        <v>0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0</v>
      </c>
      <c r="PT328">
        <v>0</v>
      </c>
      <c r="PU328">
        <v>0</v>
      </c>
      <c r="PV328">
        <v>0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</row>
    <row r="329" spans="2:467" x14ac:dyDescent="0.4">
      <c r="B329" t="str">
        <f>"9784044007348"</f>
        <v>9784044007348</v>
      </c>
      <c r="C329" t="s">
        <v>1272</v>
      </c>
      <c r="D329" t="s">
        <v>979</v>
      </c>
      <c r="E329" t="s">
        <v>1273</v>
      </c>
      <c r="G329" t="s">
        <v>597</v>
      </c>
      <c r="H329" t="str">
        <f>"0195"</f>
        <v>0195</v>
      </c>
      <c r="I329" t="s">
        <v>481</v>
      </c>
      <c r="J329" t="s">
        <v>487</v>
      </c>
      <c r="K329" t="s">
        <v>509</v>
      </c>
      <c r="L329" s="1">
        <v>44946</v>
      </c>
      <c r="M329">
        <v>1240</v>
      </c>
      <c r="N329" t="str">
        <f>"361.04"</f>
        <v>361.04</v>
      </c>
      <c r="P329">
        <v>14</v>
      </c>
      <c r="Q329">
        <v>10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2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1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1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1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2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1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1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3</v>
      </c>
      <c r="NF329">
        <v>0</v>
      </c>
      <c r="NG329">
        <v>0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0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1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0</v>
      </c>
      <c r="QM329">
        <v>0</v>
      </c>
      <c r="QN329">
        <v>0</v>
      </c>
      <c r="QO329">
        <v>1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</row>
    <row r="330" spans="2:467" x14ac:dyDescent="0.4">
      <c r="B330" t="str">
        <f>"9784101257136"</f>
        <v>9784101257136</v>
      </c>
      <c r="C330" t="s">
        <v>1276</v>
      </c>
      <c r="D330" t="s">
        <v>637</v>
      </c>
      <c r="E330" t="s">
        <v>1277</v>
      </c>
      <c r="G330" t="s">
        <v>516</v>
      </c>
      <c r="H330" t="str">
        <f>"0193"</f>
        <v>0193</v>
      </c>
      <c r="I330" t="s">
        <v>481</v>
      </c>
      <c r="J330" t="s">
        <v>487</v>
      </c>
      <c r="K330" t="s">
        <v>488</v>
      </c>
      <c r="L330" s="1">
        <v>44282</v>
      </c>
      <c r="M330">
        <v>630</v>
      </c>
      <c r="N330" t="str">
        <f>"913.6"</f>
        <v>913.6</v>
      </c>
      <c r="P330">
        <v>14</v>
      </c>
      <c r="Q330">
        <v>10</v>
      </c>
      <c r="R330">
        <v>0</v>
      </c>
      <c r="S330">
        <v>0</v>
      </c>
      <c r="T330">
        <v>2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1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1</v>
      </c>
      <c r="CR330">
        <v>2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2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1</v>
      </c>
      <c r="JN330">
        <v>0</v>
      </c>
      <c r="JO330">
        <v>0</v>
      </c>
      <c r="JP330">
        <v>0</v>
      </c>
      <c r="JQ330">
        <v>1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2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1</v>
      </c>
      <c r="OC330">
        <v>0</v>
      </c>
      <c r="OD330">
        <v>0</v>
      </c>
      <c r="OE330">
        <v>0</v>
      </c>
      <c r="OF330">
        <v>0</v>
      </c>
      <c r="OG330">
        <v>1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</row>
    <row r="331" spans="2:467" hidden="1" x14ac:dyDescent="0.4">
      <c r="B331" t="str">
        <f>"9784560090008"</f>
        <v>9784560090008</v>
      </c>
      <c r="C331" t="s">
        <v>1302</v>
      </c>
      <c r="D331" t="s">
        <v>1303</v>
      </c>
      <c r="G331" t="s">
        <v>839</v>
      </c>
      <c r="H331" t="str">
        <f>"0297"</f>
        <v>0297</v>
      </c>
      <c r="I331" t="s">
        <v>481</v>
      </c>
      <c r="J331" t="s">
        <v>482</v>
      </c>
      <c r="K331" t="s">
        <v>564</v>
      </c>
      <c r="L331" s="1">
        <v>39667</v>
      </c>
      <c r="M331">
        <v>880</v>
      </c>
      <c r="N331" t="str">
        <f>"933"</f>
        <v>933</v>
      </c>
      <c r="P331">
        <v>14</v>
      </c>
      <c r="Q331">
        <v>10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4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1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1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1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1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1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1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1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1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2</v>
      </c>
      <c r="PI331">
        <v>0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0</v>
      </c>
      <c r="PT331">
        <v>0</v>
      </c>
      <c r="PU331">
        <v>0</v>
      </c>
      <c r="PV331">
        <v>0</v>
      </c>
      <c r="PW331">
        <v>0</v>
      </c>
      <c r="PX331">
        <v>0</v>
      </c>
      <c r="PY331">
        <v>0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0</v>
      </c>
      <c r="QL331">
        <v>0</v>
      </c>
      <c r="QM331">
        <v>0</v>
      </c>
      <c r="QN331">
        <v>0</v>
      </c>
      <c r="QO331">
        <v>0</v>
      </c>
      <c r="QP331">
        <v>0</v>
      </c>
      <c r="QQ331">
        <v>0</v>
      </c>
      <c r="QR331">
        <v>0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0</v>
      </c>
    </row>
    <row r="332" spans="2:467" hidden="1" x14ac:dyDescent="0.4">
      <c r="B332" t="str">
        <f>"9784121026958"</f>
        <v>9784121026958</v>
      </c>
      <c r="C332" t="s">
        <v>1326</v>
      </c>
      <c r="D332" t="s">
        <v>1327</v>
      </c>
      <c r="E332">
        <v>2695</v>
      </c>
      <c r="G332" t="s">
        <v>540</v>
      </c>
      <c r="H332" t="str">
        <f>"1231"</f>
        <v>1231</v>
      </c>
      <c r="I332" t="s">
        <v>541</v>
      </c>
      <c r="J332" t="s">
        <v>482</v>
      </c>
      <c r="K332" t="s">
        <v>502</v>
      </c>
      <c r="L332" s="1">
        <v>44701</v>
      </c>
      <c r="M332">
        <v>1100</v>
      </c>
      <c r="N332" t="str">
        <f>"315.1"</f>
        <v>315.1</v>
      </c>
      <c r="P332">
        <v>14</v>
      </c>
      <c r="Q332">
        <v>10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2</v>
      </c>
      <c r="CI332">
        <v>1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2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1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2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2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1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</row>
    <row r="333" spans="2:467" x14ac:dyDescent="0.4">
      <c r="B333" t="str">
        <f>"9784044007225"</f>
        <v>9784044007225</v>
      </c>
      <c r="C333" t="s">
        <v>1340</v>
      </c>
      <c r="D333" t="s">
        <v>1341</v>
      </c>
      <c r="E333" t="s">
        <v>1342</v>
      </c>
      <c r="G333" t="s">
        <v>597</v>
      </c>
      <c r="H333" t="str">
        <f>"0195"</f>
        <v>0195</v>
      </c>
      <c r="I333" t="s">
        <v>481</v>
      </c>
      <c r="J333" t="s">
        <v>487</v>
      </c>
      <c r="K333" t="s">
        <v>509</v>
      </c>
      <c r="L333" s="1">
        <v>44946</v>
      </c>
      <c r="M333">
        <v>1000</v>
      </c>
      <c r="N333" t="str">
        <f>"404"</f>
        <v>404</v>
      </c>
      <c r="P333">
        <v>13</v>
      </c>
      <c r="Q333">
        <v>10</v>
      </c>
      <c r="R333">
        <v>0</v>
      </c>
      <c r="S333">
        <v>2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1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2</v>
      </c>
      <c r="FB333">
        <v>0</v>
      </c>
      <c r="FC333">
        <v>0</v>
      </c>
      <c r="FD333">
        <v>1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1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1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1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2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1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1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</row>
    <row r="334" spans="2:467" x14ac:dyDescent="0.4">
      <c r="B334" t="str">
        <f>"9784101297712"</f>
        <v>9784101297712</v>
      </c>
      <c r="C334" t="s">
        <v>1346</v>
      </c>
      <c r="D334" t="s">
        <v>1347</v>
      </c>
      <c r="E334" t="s">
        <v>1348</v>
      </c>
      <c r="G334" t="s">
        <v>516</v>
      </c>
      <c r="H334" t="str">
        <f>"0193"</f>
        <v>0193</v>
      </c>
      <c r="I334" t="s">
        <v>481</v>
      </c>
      <c r="J334" t="s">
        <v>487</v>
      </c>
      <c r="K334" t="s">
        <v>488</v>
      </c>
      <c r="L334" s="1">
        <v>39022</v>
      </c>
      <c r="M334">
        <v>490</v>
      </c>
      <c r="N334" t="str">
        <f>"913.6"</f>
        <v>913.6</v>
      </c>
      <c r="P334">
        <v>13</v>
      </c>
      <c r="Q334">
        <v>10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1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1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2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1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1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2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1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1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2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1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</v>
      </c>
      <c r="OF334">
        <v>0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0</v>
      </c>
      <c r="OR334">
        <v>0</v>
      </c>
      <c r="OS334">
        <v>0</v>
      </c>
      <c r="OT334">
        <v>0</v>
      </c>
      <c r="OU334">
        <v>0</v>
      </c>
      <c r="OV334">
        <v>0</v>
      </c>
      <c r="OW334">
        <v>0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</row>
    <row r="335" spans="2:467" hidden="1" x14ac:dyDescent="0.4">
      <c r="B335" t="str">
        <f>"9784121027153"</f>
        <v>9784121027153</v>
      </c>
      <c r="C335" t="s">
        <v>1349</v>
      </c>
      <c r="D335" t="s">
        <v>1350</v>
      </c>
      <c r="E335">
        <v>2715</v>
      </c>
      <c r="G335" t="s">
        <v>540</v>
      </c>
      <c r="H335" t="str">
        <f>"1236"</f>
        <v>1236</v>
      </c>
      <c r="I335" t="s">
        <v>541</v>
      </c>
      <c r="J335" t="s">
        <v>482</v>
      </c>
      <c r="K335" t="s">
        <v>505</v>
      </c>
      <c r="L335" s="1">
        <v>44824</v>
      </c>
      <c r="M335">
        <v>900</v>
      </c>
      <c r="N335" t="str">
        <f>"361.41"</f>
        <v>361.41</v>
      </c>
      <c r="P335">
        <v>13</v>
      </c>
      <c r="Q335">
        <v>10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1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4</v>
      </c>
      <c r="CI335">
        <v>1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1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1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1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1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1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0</v>
      </c>
      <c r="NK335">
        <v>0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1</v>
      </c>
      <c r="NZ335">
        <v>0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0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0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</row>
    <row r="336" spans="2:467" x14ac:dyDescent="0.4">
      <c r="B336" t="str">
        <f>"9784062639248"</f>
        <v>9784062639248</v>
      </c>
      <c r="C336" t="s">
        <v>1353</v>
      </c>
      <c r="D336" t="s">
        <v>1354</v>
      </c>
      <c r="E336" t="s">
        <v>1355</v>
      </c>
      <c r="G336" t="s">
        <v>548</v>
      </c>
      <c r="H336" t="str">
        <f>"0193"</f>
        <v>0193</v>
      </c>
      <c r="I336" t="s">
        <v>481</v>
      </c>
      <c r="J336" t="s">
        <v>487</v>
      </c>
      <c r="K336" t="s">
        <v>488</v>
      </c>
      <c r="L336" s="1">
        <v>39672</v>
      </c>
      <c r="M336">
        <v>790</v>
      </c>
      <c r="N336" t="str">
        <f>"913.6"</f>
        <v>913.6</v>
      </c>
      <c r="P336">
        <v>13</v>
      </c>
      <c r="Q336">
        <v>10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1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1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1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3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1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1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0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2</v>
      </c>
      <c r="NZ336">
        <v>0</v>
      </c>
      <c r="OA336">
        <v>0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  <c r="PB336">
        <v>0</v>
      </c>
      <c r="PC336">
        <v>0</v>
      </c>
      <c r="PD336">
        <v>0</v>
      </c>
      <c r="PE336">
        <v>0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0</v>
      </c>
      <c r="PL336">
        <v>0</v>
      </c>
      <c r="PM336">
        <v>1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1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</row>
    <row r="337" spans="2:467" x14ac:dyDescent="0.4">
      <c r="B337" t="str">
        <f>"9784480438546"</f>
        <v>9784480438546</v>
      </c>
      <c r="C337" t="s">
        <v>1390</v>
      </c>
      <c r="D337" t="s">
        <v>1391</v>
      </c>
      <c r="E337" t="s">
        <v>1392</v>
      </c>
      <c r="G337" t="s">
        <v>501</v>
      </c>
      <c r="H337" t="str">
        <f>"0174"</f>
        <v>0174</v>
      </c>
      <c r="I337" t="s">
        <v>481</v>
      </c>
      <c r="J337" t="s">
        <v>487</v>
      </c>
      <c r="K337" t="s">
        <v>1393</v>
      </c>
      <c r="L337" s="1">
        <v>44937</v>
      </c>
      <c r="M337">
        <v>1200</v>
      </c>
      <c r="N337" t="str">
        <f>"778.21"</f>
        <v>778.21</v>
      </c>
      <c r="P337">
        <v>13</v>
      </c>
      <c r="Q337">
        <v>10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0</v>
      </c>
      <c r="Y337">
        <v>1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1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1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2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1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3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1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1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</row>
    <row r="338" spans="2:467" x14ac:dyDescent="0.4">
      <c r="B338" t="str">
        <f>"9784101269313"</f>
        <v>9784101269313</v>
      </c>
      <c r="C338" t="s">
        <v>1397</v>
      </c>
      <c r="D338" t="s">
        <v>707</v>
      </c>
      <c r="E338" t="s">
        <v>1398</v>
      </c>
      <c r="G338" t="s">
        <v>516</v>
      </c>
      <c r="H338" t="str">
        <f>"0193"</f>
        <v>0193</v>
      </c>
      <c r="I338" t="s">
        <v>481</v>
      </c>
      <c r="J338" t="s">
        <v>487</v>
      </c>
      <c r="K338" t="s">
        <v>488</v>
      </c>
      <c r="L338" s="1">
        <v>42206</v>
      </c>
      <c r="M338">
        <v>630</v>
      </c>
      <c r="N338" t="str">
        <f>"913.6"</f>
        <v>913.6</v>
      </c>
      <c r="P338">
        <v>13</v>
      </c>
      <c r="Q338">
        <v>10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1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1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1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1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1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1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2</v>
      </c>
      <c r="JN338">
        <v>0</v>
      </c>
      <c r="JO338">
        <v>0</v>
      </c>
      <c r="JP338">
        <v>0</v>
      </c>
      <c r="JQ338">
        <v>2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2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1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</v>
      </c>
      <c r="PL338">
        <v>0</v>
      </c>
      <c r="PM338">
        <v>0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0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</row>
    <row r="339" spans="2:467" hidden="1" x14ac:dyDescent="0.4">
      <c r="B339" t="str">
        <f>"9784121027252"</f>
        <v>9784121027252</v>
      </c>
      <c r="C339" t="s">
        <v>1418</v>
      </c>
      <c r="D339" t="s">
        <v>1419</v>
      </c>
      <c r="E339">
        <v>2725</v>
      </c>
      <c r="G339" t="s">
        <v>540</v>
      </c>
      <c r="H339" t="str">
        <f>"1221"</f>
        <v>1221</v>
      </c>
      <c r="I339" t="s">
        <v>541</v>
      </c>
      <c r="J339" t="s">
        <v>482</v>
      </c>
      <c r="K339" t="s">
        <v>620</v>
      </c>
      <c r="L339" s="1">
        <v>44883</v>
      </c>
      <c r="M339">
        <v>860</v>
      </c>
      <c r="N339" t="str">
        <f>"210.35"</f>
        <v>210.35</v>
      </c>
      <c r="P339">
        <v>13</v>
      </c>
      <c r="Q339">
        <v>10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3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1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1</v>
      </c>
      <c r="DD339">
        <v>0</v>
      </c>
      <c r="DE339">
        <v>0</v>
      </c>
      <c r="DF339">
        <v>1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1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2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1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1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0</v>
      </c>
      <c r="NM339">
        <v>0</v>
      </c>
      <c r="NN339">
        <v>1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1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</row>
    <row r="340" spans="2:467" x14ac:dyDescent="0.4">
      <c r="B340" t="str">
        <f>"9784480438560"</f>
        <v>9784480438560</v>
      </c>
      <c r="C340" t="s">
        <v>1434</v>
      </c>
      <c r="D340" t="s">
        <v>1435</v>
      </c>
      <c r="E340" t="s">
        <v>1436</v>
      </c>
      <c r="G340" t="s">
        <v>501</v>
      </c>
      <c r="H340" t="str">
        <f>"0171"</f>
        <v>0171</v>
      </c>
      <c r="I340" t="s">
        <v>481</v>
      </c>
      <c r="J340" t="s">
        <v>487</v>
      </c>
      <c r="K340" t="s">
        <v>1437</v>
      </c>
      <c r="L340" s="1">
        <v>44937</v>
      </c>
      <c r="M340">
        <v>900</v>
      </c>
      <c r="N340" t="str">
        <f>"493.7"</f>
        <v>493.7</v>
      </c>
      <c r="P340">
        <v>13</v>
      </c>
      <c r="Q340">
        <v>10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0</v>
      </c>
      <c r="Y340">
        <v>1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1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2</v>
      </c>
      <c r="CI340">
        <v>1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3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1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1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1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</row>
    <row r="341" spans="2:467" hidden="1" x14ac:dyDescent="0.4">
      <c r="B341" t="str">
        <f>"9784106109300"</f>
        <v>9784106109300</v>
      </c>
      <c r="C341" t="s">
        <v>1444</v>
      </c>
      <c r="D341" t="s">
        <v>705</v>
      </c>
      <c r="E341">
        <v>930</v>
      </c>
      <c r="G341" t="s">
        <v>516</v>
      </c>
      <c r="H341" t="str">
        <f>"0240"</f>
        <v>0240</v>
      </c>
      <c r="I341" t="s">
        <v>481</v>
      </c>
      <c r="J341" t="s">
        <v>482</v>
      </c>
      <c r="K341" t="s">
        <v>703</v>
      </c>
      <c r="L341" s="1">
        <v>44516</v>
      </c>
      <c r="M341">
        <v>900</v>
      </c>
      <c r="N341" t="str">
        <f>"498.39"</f>
        <v>498.39</v>
      </c>
      <c r="P341">
        <v>12</v>
      </c>
      <c r="Q341">
        <v>10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1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1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1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1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2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2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1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1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1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1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0</v>
      </c>
      <c r="PM341">
        <v>0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</row>
    <row r="342" spans="2:467" x14ac:dyDescent="0.4">
      <c r="B342" t="str">
        <f>"9784006003234"</f>
        <v>9784006003234</v>
      </c>
      <c r="C342" t="s">
        <v>1448</v>
      </c>
      <c r="D342" t="s">
        <v>1449</v>
      </c>
      <c r="E342" t="s">
        <v>1450</v>
      </c>
      <c r="G342" t="s">
        <v>521</v>
      </c>
      <c r="H342" t="str">
        <f>"0110"</f>
        <v>0110</v>
      </c>
      <c r="I342" t="s">
        <v>481</v>
      </c>
      <c r="J342" t="s">
        <v>487</v>
      </c>
      <c r="K342" t="s">
        <v>483</v>
      </c>
      <c r="L342" s="1">
        <v>42021</v>
      </c>
      <c r="M342">
        <v>1400</v>
      </c>
      <c r="N342" t="str">
        <f>"304"</f>
        <v>304</v>
      </c>
      <c r="P342">
        <v>12</v>
      </c>
      <c r="Q342">
        <v>10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1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3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1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1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1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1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1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1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1</v>
      </c>
      <c r="PL342">
        <v>0</v>
      </c>
      <c r="PM342">
        <v>0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0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1</v>
      </c>
      <c r="QL342">
        <v>0</v>
      </c>
      <c r="QM342">
        <v>0</v>
      </c>
      <c r="QN342">
        <v>0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</row>
    <row r="343" spans="2:467" hidden="1" x14ac:dyDescent="0.4">
      <c r="B343" t="str">
        <f>"9784121027276"</f>
        <v>9784121027276</v>
      </c>
      <c r="C343" t="s">
        <v>1451</v>
      </c>
      <c r="D343" t="s">
        <v>1452</v>
      </c>
      <c r="E343">
        <v>2727</v>
      </c>
      <c r="G343" t="s">
        <v>540</v>
      </c>
      <c r="H343" t="str">
        <f>"1222"</f>
        <v>1222</v>
      </c>
      <c r="I343" t="s">
        <v>541</v>
      </c>
      <c r="J343" t="s">
        <v>482</v>
      </c>
      <c r="K343" t="s">
        <v>579</v>
      </c>
      <c r="L343" s="1">
        <v>44883</v>
      </c>
      <c r="M343">
        <v>1100</v>
      </c>
      <c r="N343" t="str">
        <f>"209.3"</f>
        <v>209.3</v>
      </c>
      <c r="P343">
        <v>12</v>
      </c>
      <c r="Q343">
        <v>10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1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2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1</v>
      </c>
      <c r="HV343">
        <v>1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2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1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1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1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</v>
      </c>
      <c r="NK343">
        <v>0</v>
      </c>
      <c r="NL343">
        <v>0</v>
      </c>
      <c r="NM343">
        <v>0</v>
      </c>
      <c r="NN343">
        <v>1</v>
      </c>
      <c r="NO343">
        <v>0</v>
      </c>
      <c r="NP343">
        <v>0</v>
      </c>
      <c r="NQ343">
        <v>0</v>
      </c>
      <c r="NR343">
        <v>1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</row>
    <row r="344" spans="2:467" x14ac:dyDescent="0.4">
      <c r="B344" t="str">
        <f>"9784344431416"</f>
        <v>9784344431416</v>
      </c>
      <c r="C344" t="s">
        <v>1458</v>
      </c>
      <c r="D344" t="s">
        <v>707</v>
      </c>
      <c r="E344" t="s">
        <v>1459</v>
      </c>
      <c r="G344" t="s">
        <v>714</v>
      </c>
      <c r="H344" t="str">
        <f>"0193"</f>
        <v>0193</v>
      </c>
      <c r="I344" t="s">
        <v>481</v>
      </c>
      <c r="J344" t="s">
        <v>487</v>
      </c>
      <c r="K344" t="s">
        <v>488</v>
      </c>
      <c r="L344" s="1">
        <v>44539</v>
      </c>
      <c r="M344">
        <v>710</v>
      </c>
      <c r="N344" t="str">
        <f>"913.6"</f>
        <v>913.6</v>
      </c>
      <c r="P344">
        <v>12</v>
      </c>
      <c r="Q344">
        <v>10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1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1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1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1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1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1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1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3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1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0</v>
      </c>
      <c r="PF344">
        <v>0</v>
      </c>
      <c r="PG344">
        <v>0</v>
      </c>
      <c r="PH344">
        <v>0</v>
      </c>
      <c r="PI344">
        <v>0</v>
      </c>
      <c r="PJ344">
        <v>0</v>
      </c>
      <c r="PK344">
        <v>0</v>
      </c>
      <c r="PL344">
        <v>0</v>
      </c>
      <c r="PM344">
        <v>0</v>
      </c>
      <c r="PN344">
        <v>0</v>
      </c>
      <c r="PO344">
        <v>0</v>
      </c>
      <c r="PP344">
        <v>0</v>
      </c>
      <c r="PQ344">
        <v>0</v>
      </c>
      <c r="PR344">
        <v>0</v>
      </c>
      <c r="PS344">
        <v>0</v>
      </c>
      <c r="PT344">
        <v>0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1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</row>
    <row r="345" spans="2:467" x14ac:dyDescent="0.4">
      <c r="B345" t="str">
        <f>"9784150315429"</f>
        <v>9784150315429</v>
      </c>
      <c r="C345" t="s">
        <v>1480</v>
      </c>
      <c r="D345" t="s">
        <v>1481</v>
      </c>
      <c r="E345" t="s">
        <v>1482</v>
      </c>
      <c r="F345" t="s">
        <v>1483</v>
      </c>
      <c r="G345" t="s">
        <v>963</v>
      </c>
      <c r="H345" t="str">
        <f>"0193"</f>
        <v>0193</v>
      </c>
      <c r="I345" t="s">
        <v>481</v>
      </c>
      <c r="J345" t="s">
        <v>487</v>
      </c>
      <c r="K345" t="s">
        <v>488</v>
      </c>
      <c r="L345" s="1">
        <v>44951</v>
      </c>
      <c r="M345">
        <v>760</v>
      </c>
      <c r="N345" t="str">
        <f>"913.6"</f>
        <v>913.6</v>
      </c>
      <c r="P345">
        <v>12</v>
      </c>
      <c r="Q345">
        <v>10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1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1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2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1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2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1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1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1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1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</row>
    <row r="346" spans="2:467" x14ac:dyDescent="0.4">
      <c r="B346" t="str">
        <f>"9784122072848"</f>
        <v>9784122072848</v>
      </c>
      <c r="C346" t="s">
        <v>1491</v>
      </c>
      <c r="D346" t="s">
        <v>1492</v>
      </c>
      <c r="E346" t="s">
        <v>1493</v>
      </c>
      <c r="G346" t="s">
        <v>540</v>
      </c>
      <c r="H346" t="str">
        <f>"1141"</f>
        <v>1141</v>
      </c>
      <c r="I346" t="s">
        <v>541</v>
      </c>
      <c r="J346" t="s">
        <v>487</v>
      </c>
      <c r="K346" t="s">
        <v>604</v>
      </c>
      <c r="L346" s="1">
        <v>44887</v>
      </c>
      <c r="M346">
        <v>940</v>
      </c>
      <c r="N346" t="str">
        <f>"410"</f>
        <v>410</v>
      </c>
      <c r="P346">
        <v>12</v>
      </c>
      <c r="Q346">
        <v>10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1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1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1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2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1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1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1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2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1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0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0</v>
      </c>
      <c r="PB346">
        <v>0</v>
      </c>
      <c r="PC346">
        <v>0</v>
      </c>
      <c r="PD346">
        <v>0</v>
      </c>
      <c r="PE346">
        <v>0</v>
      </c>
      <c r="PF346">
        <v>0</v>
      </c>
      <c r="PG346">
        <v>0</v>
      </c>
      <c r="PH346">
        <v>0</v>
      </c>
      <c r="PI346">
        <v>0</v>
      </c>
      <c r="PJ346">
        <v>0</v>
      </c>
      <c r="PK346">
        <v>0</v>
      </c>
      <c r="PL346">
        <v>0</v>
      </c>
      <c r="PM346">
        <v>0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1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</row>
    <row r="347" spans="2:467" hidden="1" x14ac:dyDescent="0.4">
      <c r="B347" t="str">
        <f>"9784087212389"</f>
        <v>9784087212389</v>
      </c>
      <c r="C347" t="s">
        <v>1494</v>
      </c>
      <c r="D347" t="s">
        <v>1495</v>
      </c>
      <c r="E347" t="s">
        <v>1496</v>
      </c>
      <c r="G347" t="s">
        <v>536</v>
      </c>
      <c r="H347" t="str">
        <f>"0295"</f>
        <v>0295</v>
      </c>
      <c r="I347" t="s">
        <v>481</v>
      </c>
      <c r="J347" t="s">
        <v>482</v>
      </c>
      <c r="K347" t="s">
        <v>509</v>
      </c>
      <c r="L347" s="1">
        <v>44848</v>
      </c>
      <c r="M347">
        <v>1100</v>
      </c>
      <c r="N347" t="str">
        <f>"816"</f>
        <v>816</v>
      </c>
      <c r="P347">
        <v>12</v>
      </c>
      <c r="Q347">
        <v>10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1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1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1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1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3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1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1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1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0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1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1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</row>
    <row r="348" spans="2:467" hidden="1" x14ac:dyDescent="0.4">
      <c r="B348" t="str">
        <f>"9784065297247"</f>
        <v>9784065297247</v>
      </c>
      <c r="C348" t="s">
        <v>1506</v>
      </c>
      <c r="D348" t="s">
        <v>1507</v>
      </c>
      <c r="E348" t="s">
        <v>1508</v>
      </c>
      <c r="G348" t="s">
        <v>548</v>
      </c>
      <c r="H348" t="str">
        <f>"0247"</f>
        <v>0247</v>
      </c>
      <c r="I348" t="s">
        <v>481</v>
      </c>
      <c r="J348" t="s">
        <v>482</v>
      </c>
      <c r="K348" t="s">
        <v>670</v>
      </c>
      <c r="L348" s="1">
        <v>44853</v>
      </c>
      <c r="M348">
        <v>1800</v>
      </c>
      <c r="N348" t="str">
        <f>"491.371"</f>
        <v>491.371</v>
      </c>
      <c r="P348">
        <v>12</v>
      </c>
      <c r="Q348">
        <v>10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1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2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1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2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1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1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1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1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1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</row>
    <row r="349" spans="2:467" hidden="1" x14ac:dyDescent="0.4">
      <c r="B349" t="str">
        <f>"9784065298657"</f>
        <v>9784065298657</v>
      </c>
      <c r="C349" t="s">
        <v>1511</v>
      </c>
      <c r="D349" t="s">
        <v>1512</v>
      </c>
      <c r="E349">
        <v>2681</v>
      </c>
      <c r="G349" t="s">
        <v>548</v>
      </c>
      <c r="H349" t="str">
        <f>"0282"</f>
        <v>0282</v>
      </c>
      <c r="I349" t="s">
        <v>481</v>
      </c>
      <c r="J349" t="s">
        <v>482</v>
      </c>
      <c r="K349" t="s">
        <v>1333</v>
      </c>
      <c r="L349" s="1">
        <v>44853</v>
      </c>
      <c r="M349">
        <v>1000</v>
      </c>
      <c r="N349" t="str">
        <f>"832"</f>
        <v>832</v>
      </c>
      <c r="P349">
        <v>12</v>
      </c>
      <c r="Q349">
        <v>10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1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1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1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1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1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3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1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</v>
      </c>
      <c r="NK349">
        <v>0</v>
      </c>
      <c r="NL349">
        <v>0</v>
      </c>
      <c r="NM349">
        <v>0</v>
      </c>
      <c r="NN349">
        <v>0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1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1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0</v>
      </c>
      <c r="PT349">
        <v>0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1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</row>
    <row r="350" spans="2:467" x14ac:dyDescent="0.4">
      <c r="B350" t="str">
        <f>"9784003751343"</f>
        <v>9784003751343</v>
      </c>
      <c r="C350" t="s">
        <v>1518</v>
      </c>
      <c r="D350" t="s">
        <v>562</v>
      </c>
      <c r="E350" t="s">
        <v>1519</v>
      </c>
      <c r="G350" t="s">
        <v>521</v>
      </c>
      <c r="H350" t="str">
        <f>"0197"</f>
        <v>0197</v>
      </c>
      <c r="I350" t="s">
        <v>481</v>
      </c>
      <c r="J350" t="s">
        <v>487</v>
      </c>
      <c r="K350" t="s">
        <v>564</v>
      </c>
      <c r="L350" s="1">
        <v>44881</v>
      </c>
      <c r="M350">
        <v>1070</v>
      </c>
      <c r="N350" t="str">
        <f>"953"</f>
        <v>953</v>
      </c>
      <c r="P350">
        <v>12</v>
      </c>
      <c r="Q350">
        <v>10</v>
      </c>
      <c r="R350">
        <v>0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1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2</v>
      </c>
      <c r="CI350">
        <v>1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1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1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1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2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1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1</v>
      </c>
      <c r="PA350">
        <v>0</v>
      </c>
      <c r="PB350">
        <v>0</v>
      </c>
      <c r="PC350">
        <v>0</v>
      </c>
      <c r="PD350">
        <v>0</v>
      </c>
      <c r="PE350">
        <v>0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</v>
      </c>
      <c r="PS350">
        <v>0</v>
      </c>
      <c r="PT350">
        <v>0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</row>
    <row r="351" spans="2:467" hidden="1" x14ac:dyDescent="0.4">
      <c r="B351" t="str">
        <f>"9784815612993"</f>
        <v>9784815612993</v>
      </c>
      <c r="C351" t="s">
        <v>1533</v>
      </c>
      <c r="D351" t="s">
        <v>1534</v>
      </c>
      <c r="E351">
        <v>572</v>
      </c>
      <c r="G351" t="s">
        <v>666</v>
      </c>
      <c r="H351" t="str">
        <f>"0211"</f>
        <v>0211</v>
      </c>
      <c r="I351" t="s">
        <v>481</v>
      </c>
      <c r="J351" t="s">
        <v>482</v>
      </c>
      <c r="K351" t="s">
        <v>610</v>
      </c>
      <c r="L351" s="1">
        <v>44600</v>
      </c>
      <c r="M351">
        <v>900</v>
      </c>
      <c r="N351" t="str">
        <f>"369.28"</f>
        <v>369.28</v>
      </c>
      <c r="P351">
        <v>12</v>
      </c>
      <c r="Q351">
        <v>10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1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1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1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2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1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1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2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0</v>
      </c>
      <c r="NE351">
        <v>1</v>
      </c>
      <c r="NF351">
        <v>0</v>
      </c>
      <c r="NG351">
        <v>0</v>
      </c>
      <c r="NH351">
        <v>0</v>
      </c>
      <c r="NI351">
        <v>0</v>
      </c>
      <c r="NJ351">
        <v>0</v>
      </c>
      <c r="NK351">
        <v>0</v>
      </c>
      <c r="NL351">
        <v>0</v>
      </c>
      <c r="NM351">
        <v>0</v>
      </c>
      <c r="NN351">
        <v>0</v>
      </c>
      <c r="NO351">
        <v>0</v>
      </c>
      <c r="NP351">
        <v>1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1</v>
      </c>
      <c r="OH351">
        <v>0</v>
      </c>
      <c r="OI351">
        <v>0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0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0</v>
      </c>
      <c r="PT351">
        <v>0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</row>
    <row r="352" spans="2:467" hidden="1" x14ac:dyDescent="0.4">
      <c r="B352" t="str">
        <f>"9784087212266"</f>
        <v>9784087212266</v>
      </c>
      <c r="C352" t="s">
        <v>1540</v>
      </c>
      <c r="D352" t="s">
        <v>1541</v>
      </c>
      <c r="E352" t="s">
        <v>1542</v>
      </c>
      <c r="G352" t="s">
        <v>536</v>
      </c>
      <c r="H352" t="str">
        <f>"0232"</f>
        <v>0232</v>
      </c>
      <c r="I352" t="s">
        <v>481</v>
      </c>
      <c r="J352" t="s">
        <v>482</v>
      </c>
      <c r="K352" t="s">
        <v>1053</v>
      </c>
      <c r="L352" s="1">
        <v>44790</v>
      </c>
      <c r="M352">
        <v>820</v>
      </c>
      <c r="N352" t="str">
        <f>"367.2"</f>
        <v>367.2</v>
      </c>
      <c r="P352">
        <v>11</v>
      </c>
      <c r="Q352">
        <v>10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1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1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1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1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1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2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1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1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  <c r="NK352">
        <v>0</v>
      </c>
      <c r="NL352">
        <v>0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1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1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</row>
    <row r="353" spans="2:467" hidden="1" x14ac:dyDescent="0.4">
      <c r="B353" t="str">
        <f>"9784121507747"</f>
        <v>9784121507747</v>
      </c>
      <c r="C353" t="s">
        <v>1543</v>
      </c>
      <c r="D353" t="s">
        <v>1544</v>
      </c>
      <c r="E353">
        <v>774</v>
      </c>
      <c r="G353" t="s">
        <v>540</v>
      </c>
      <c r="H353" t="str">
        <f>"1236"</f>
        <v>1236</v>
      </c>
      <c r="I353" t="s">
        <v>541</v>
      </c>
      <c r="J353" t="s">
        <v>482</v>
      </c>
      <c r="K353" t="s">
        <v>505</v>
      </c>
      <c r="L353" s="1">
        <v>44841</v>
      </c>
      <c r="M353">
        <v>900</v>
      </c>
      <c r="N353" t="str">
        <f>"304"</f>
        <v>304</v>
      </c>
      <c r="P353">
        <v>11</v>
      </c>
      <c r="Q353">
        <v>10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1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1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1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1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2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1</v>
      </c>
      <c r="JN353">
        <v>0</v>
      </c>
      <c r="JO353">
        <v>0</v>
      </c>
      <c r="JP353">
        <v>0</v>
      </c>
      <c r="JQ353">
        <v>1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1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1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1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0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0</v>
      </c>
      <c r="PT353">
        <v>0</v>
      </c>
      <c r="PU353">
        <v>0</v>
      </c>
      <c r="PV353">
        <v>0</v>
      </c>
      <c r="PW353">
        <v>0</v>
      </c>
      <c r="PX353">
        <v>0</v>
      </c>
      <c r="PY353">
        <v>0</v>
      </c>
      <c r="PZ353">
        <v>0</v>
      </c>
      <c r="QA353">
        <v>0</v>
      </c>
      <c r="QB353">
        <v>0</v>
      </c>
      <c r="QC353">
        <v>0</v>
      </c>
      <c r="QD353">
        <v>0</v>
      </c>
      <c r="QE353">
        <v>0</v>
      </c>
      <c r="QF353">
        <v>0</v>
      </c>
      <c r="QG353">
        <v>0</v>
      </c>
      <c r="QH353">
        <v>0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</row>
    <row r="354" spans="2:467" x14ac:dyDescent="0.4">
      <c r="B354" t="str">
        <f>"9784167919818"</f>
        <v>9784167919818</v>
      </c>
      <c r="C354" t="s">
        <v>1565</v>
      </c>
      <c r="D354" t="s">
        <v>1335</v>
      </c>
      <c r="E354" t="s">
        <v>1566</v>
      </c>
      <c r="G354" t="s">
        <v>639</v>
      </c>
      <c r="H354" t="str">
        <f>"0193"</f>
        <v>0193</v>
      </c>
      <c r="I354" t="s">
        <v>481</v>
      </c>
      <c r="J354" t="s">
        <v>487</v>
      </c>
      <c r="K354" t="s">
        <v>488</v>
      </c>
      <c r="L354" s="1">
        <v>44930</v>
      </c>
      <c r="M354">
        <v>670</v>
      </c>
      <c r="N354" t="str">
        <f>"913.6"</f>
        <v>913.6</v>
      </c>
      <c r="P354">
        <v>11</v>
      </c>
      <c r="Q354">
        <v>10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1</v>
      </c>
      <c r="BP354">
        <v>0</v>
      </c>
      <c r="BQ354">
        <v>1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1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2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1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1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1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1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1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0</v>
      </c>
      <c r="PB354">
        <v>0</v>
      </c>
      <c r="PC354">
        <v>0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</v>
      </c>
      <c r="PO354">
        <v>0</v>
      </c>
      <c r="PP354">
        <v>0</v>
      </c>
      <c r="PQ354">
        <v>0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0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</row>
    <row r="355" spans="2:467" x14ac:dyDescent="0.4">
      <c r="B355" t="str">
        <f>"9784022650832"</f>
        <v>9784022650832</v>
      </c>
      <c r="C355" t="s">
        <v>1567</v>
      </c>
      <c r="D355" t="s">
        <v>1568</v>
      </c>
      <c r="E355" t="s">
        <v>1569</v>
      </c>
      <c r="G355" t="s">
        <v>498</v>
      </c>
      <c r="H355" t="str">
        <f>"0195"</f>
        <v>0195</v>
      </c>
      <c r="I355" t="s">
        <v>481</v>
      </c>
      <c r="J355" t="s">
        <v>487</v>
      </c>
      <c r="K355" t="s">
        <v>509</v>
      </c>
      <c r="L355" s="1">
        <v>44933</v>
      </c>
      <c r="M355">
        <v>890</v>
      </c>
      <c r="N355" t="str">
        <f>"914.6"</f>
        <v>914.6</v>
      </c>
      <c r="P355">
        <v>11</v>
      </c>
      <c r="Q355">
        <v>10</v>
      </c>
      <c r="R355">
        <v>0</v>
      </c>
      <c r="S355">
        <v>1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1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1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1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1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0</v>
      </c>
      <c r="NL355">
        <v>0</v>
      </c>
      <c r="NM355">
        <v>0</v>
      </c>
      <c r="NN355">
        <v>0</v>
      </c>
      <c r="NO355">
        <v>0</v>
      </c>
      <c r="NP355">
        <v>0</v>
      </c>
      <c r="NQ355">
        <v>0</v>
      </c>
      <c r="NR355">
        <v>2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1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1</v>
      </c>
      <c r="PJ355">
        <v>0</v>
      </c>
      <c r="PK355">
        <v>1</v>
      </c>
      <c r="PL355">
        <v>0</v>
      </c>
      <c r="PM355">
        <v>0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0</v>
      </c>
      <c r="PT355">
        <v>0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1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</row>
    <row r="356" spans="2:467" x14ac:dyDescent="0.4">
      <c r="B356" t="str">
        <f>"9784122018334"</f>
        <v>9784122018334</v>
      </c>
      <c r="C356" t="s">
        <v>1575</v>
      </c>
      <c r="D356" t="s">
        <v>1576</v>
      </c>
      <c r="E356" t="s">
        <v>1577</v>
      </c>
      <c r="G356" t="s">
        <v>540</v>
      </c>
      <c r="H356" t="str">
        <f>"1121"</f>
        <v>1121</v>
      </c>
      <c r="I356" t="s">
        <v>541</v>
      </c>
      <c r="J356" t="s">
        <v>487</v>
      </c>
      <c r="K356" t="s">
        <v>620</v>
      </c>
      <c r="L356" s="1">
        <v>33451</v>
      </c>
      <c r="M356">
        <v>762</v>
      </c>
      <c r="N356" t="str">
        <f>"391.2"</f>
        <v>391.2</v>
      </c>
      <c r="P356">
        <v>11</v>
      </c>
      <c r="Q356">
        <v>10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1</v>
      </c>
      <c r="CI356">
        <v>2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1</v>
      </c>
      <c r="CR356">
        <v>0</v>
      </c>
      <c r="CS356">
        <v>1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1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1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1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1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1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0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0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</row>
    <row r="357" spans="2:467" x14ac:dyDescent="0.4">
      <c r="B357" t="str">
        <f>"9784062566100"</f>
        <v>9784062566100</v>
      </c>
      <c r="C357" t="s">
        <v>1578</v>
      </c>
      <c r="D357" t="s">
        <v>1544</v>
      </c>
      <c r="E357" t="s">
        <v>1579</v>
      </c>
      <c r="G357" t="s">
        <v>548</v>
      </c>
      <c r="H357" t="str">
        <f>"0176"</f>
        <v>0176</v>
      </c>
      <c r="I357" t="s">
        <v>481</v>
      </c>
      <c r="J357" t="s">
        <v>487</v>
      </c>
      <c r="K357" t="s">
        <v>552</v>
      </c>
      <c r="L357" s="1">
        <v>37377</v>
      </c>
      <c r="M357">
        <v>880</v>
      </c>
      <c r="N357" t="str">
        <f>"141.5"</f>
        <v>141.5</v>
      </c>
      <c r="P357">
        <v>11</v>
      </c>
      <c r="Q357">
        <v>10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1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1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1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1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1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  <c r="NK357">
        <v>0</v>
      </c>
      <c r="NL357">
        <v>0</v>
      </c>
      <c r="NM357">
        <v>0</v>
      </c>
      <c r="NN357">
        <v>0</v>
      </c>
      <c r="NO357">
        <v>0</v>
      </c>
      <c r="NP357">
        <v>0</v>
      </c>
      <c r="NQ357">
        <v>0</v>
      </c>
      <c r="NR357">
        <v>0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1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1</v>
      </c>
      <c r="OT357">
        <v>0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0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1</v>
      </c>
      <c r="PN357">
        <v>1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2</v>
      </c>
      <c r="QU357">
        <v>0</v>
      </c>
      <c r="QV357">
        <v>0</v>
      </c>
      <c r="QW357">
        <v>0</v>
      </c>
      <c r="QX357">
        <v>0</v>
      </c>
      <c r="QY357">
        <v>0</v>
      </c>
    </row>
    <row r="358" spans="2:467" x14ac:dyDescent="0.4">
      <c r="B358" t="str">
        <f>"9784309467580"</f>
        <v>9784309467580</v>
      </c>
      <c r="C358" t="s">
        <v>1580</v>
      </c>
      <c r="D358" t="s">
        <v>1377</v>
      </c>
      <c r="E358" t="s">
        <v>1581</v>
      </c>
      <c r="G358" t="s">
        <v>1143</v>
      </c>
      <c r="H358" t="str">
        <f>"0122"</f>
        <v>0122</v>
      </c>
      <c r="I358" t="s">
        <v>481</v>
      </c>
      <c r="J358" t="s">
        <v>487</v>
      </c>
      <c r="K358" t="s">
        <v>579</v>
      </c>
      <c r="L358" s="1">
        <v>44817</v>
      </c>
      <c r="M358">
        <v>900</v>
      </c>
      <c r="N358" t="str">
        <f>"469"</f>
        <v>469</v>
      </c>
      <c r="P358">
        <v>11</v>
      </c>
      <c r="Q358">
        <v>10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1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1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1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2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1</v>
      </c>
      <c r="JN358">
        <v>1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1</v>
      </c>
      <c r="MM358">
        <v>0</v>
      </c>
      <c r="MN358">
        <v>1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1</v>
      </c>
      <c r="QY358">
        <v>0</v>
      </c>
    </row>
    <row r="359" spans="2:467" x14ac:dyDescent="0.4">
      <c r="B359" t="str">
        <f>"9784041132210"</f>
        <v>9784041132210</v>
      </c>
      <c r="C359" t="s">
        <v>1584</v>
      </c>
      <c r="D359" t="s">
        <v>1585</v>
      </c>
      <c r="E359" t="s">
        <v>1586</v>
      </c>
      <c r="G359" t="s">
        <v>597</v>
      </c>
      <c r="H359" t="str">
        <f>"0193"</f>
        <v>0193</v>
      </c>
      <c r="I359" t="s">
        <v>481</v>
      </c>
      <c r="J359" t="s">
        <v>487</v>
      </c>
      <c r="K359" t="s">
        <v>488</v>
      </c>
      <c r="L359" s="1">
        <v>44949</v>
      </c>
      <c r="M359">
        <v>680</v>
      </c>
      <c r="N359" t="str">
        <f>"913.6"</f>
        <v>913.6</v>
      </c>
      <c r="P359">
        <v>11</v>
      </c>
      <c r="Q359">
        <v>10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2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1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1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1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1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1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1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0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C359">
        <v>0</v>
      </c>
      <c r="OD359">
        <v>0</v>
      </c>
      <c r="OE359">
        <v>0</v>
      </c>
      <c r="OF359">
        <v>0</v>
      </c>
      <c r="OG359">
        <v>0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</v>
      </c>
      <c r="PB359">
        <v>0</v>
      </c>
      <c r="PC359">
        <v>0</v>
      </c>
      <c r="PD359">
        <v>0</v>
      </c>
      <c r="PE359">
        <v>0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0</v>
      </c>
      <c r="PL359">
        <v>0</v>
      </c>
      <c r="PM359">
        <v>1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</v>
      </c>
      <c r="PT359">
        <v>1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</row>
    <row r="360" spans="2:467" hidden="1" x14ac:dyDescent="0.4">
      <c r="B360" t="str">
        <f>"9784065137444"</f>
        <v>9784065137444</v>
      </c>
      <c r="C360" t="s">
        <v>1590</v>
      </c>
      <c r="D360" t="s">
        <v>1591</v>
      </c>
      <c r="E360" t="s">
        <v>1592</v>
      </c>
      <c r="F360" t="s">
        <v>1593</v>
      </c>
      <c r="G360" t="s">
        <v>548</v>
      </c>
      <c r="H360" t="str">
        <f>"0245"</f>
        <v>0245</v>
      </c>
      <c r="I360" t="s">
        <v>481</v>
      </c>
      <c r="J360" t="s">
        <v>482</v>
      </c>
      <c r="K360" t="s">
        <v>593</v>
      </c>
      <c r="L360" s="1">
        <v>44272</v>
      </c>
      <c r="M360">
        <v>2000</v>
      </c>
      <c r="N360" t="str">
        <f>"460"</f>
        <v>460</v>
      </c>
      <c r="P360">
        <v>11</v>
      </c>
      <c r="Q360">
        <v>10</v>
      </c>
      <c r="R360">
        <v>0</v>
      </c>
      <c r="S360">
        <v>0</v>
      </c>
      <c r="T360">
        <v>2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1</v>
      </c>
      <c r="CI360">
        <v>1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1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1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1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1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1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1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0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0</v>
      </c>
      <c r="PL360">
        <v>0</v>
      </c>
      <c r="PM360">
        <v>1</v>
      </c>
      <c r="PN360">
        <v>0</v>
      </c>
      <c r="PO360">
        <v>0</v>
      </c>
      <c r="PP360">
        <v>0</v>
      </c>
      <c r="PQ360">
        <v>0</v>
      </c>
      <c r="PR360">
        <v>0</v>
      </c>
      <c r="PS360">
        <v>0</v>
      </c>
      <c r="PT360">
        <v>0</v>
      </c>
      <c r="PU360">
        <v>0</v>
      </c>
      <c r="PV360">
        <v>0</v>
      </c>
      <c r="PW360">
        <v>0</v>
      </c>
      <c r="PX360">
        <v>0</v>
      </c>
      <c r="PY360">
        <v>0</v>
      </c>
      <c r="PZ360">
        <v>0</v>
      </c>
      <c r="QA360">
        <v>0</v>
      </c>
      <c r="QB360">
        <v>0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</row>
    <row r="361" spans="2:467" x14ac:dyDescent="0.4">
      <c r="B361" t="str">
        <f>"9784480511348"</f>
        <v>9784480511348</v>
      </c>
      <c r="C361" t="s">
        <v>1594</v>
      </c>
      <c r="D361" t="s">
        <v>1595</v>
      </c>
      <c r="E361" t="s">
        <v>1596</v>
      </c>
      <c r="G361" t="s">
        <v>501</v>
      </c>
      <c r="H361" t="str">
        <f>"0180"</f>
        <v>0180</v>
      </c>
      <c r="I361" t="s">
        <v>481</v>
      </c>
      <c r="J361" t="s">
        <v>487</v>
      </c>
      <c r="K361" t="s">
        <v>1114</v>
      </c>
      <c r="L361" s="1">
        <v>44879</v>
      </c>
      <c r="M361">
        <v>1000</v>
      </c>
      <c r="N361" t="str">
        <f>"801"</f>
        <v>801</v>
      </c>
      <c r="P361">
        <v>11</v>
      </c>
      <c r="Q361">
        <v>10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1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2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1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1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1</v>
      </c>
      <c r="LF361">
        <v>0</v>
      </c>
      <c r="LG361">
        <v>0</v>
      </c>
      <c r="LH361">
        <v>1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  <c r="MN361">
        <v>0</v>
      </c>
      <c r="MO361">
        <v>1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1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  <c r="PB361">
        <v>0</v>
      </c>
      <c r="PC361">
        <v>0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0</v>
      </c>
      <c r="PL361">
        <v>0</v>
      </c>
      <c r="PM361">
        <v>0</v>
      </c>
      <c r="PN361">
        <v>0</v>
      </c>
      <c r="PO361">
        <v>0</v>
      </c>
      <c r="PP361">
        <v>0</v>
      </c>
      <c r="PQ361">
        <v>0</v>
      </c>
      <c r="PR361">
        <v>0</v>
      </c>
      <c r="PS361">
        <v>0</v>
      </c>
      <c r="PT361">
        <v>0</v>
      </c>
      <c r="PU361">
        <v>0</v>
      </c>
      <c r="PV361">
        <v>0</v>
      </c>
      <c r="PW361">
        <v>0</v>
      </c>
      <c r="PX361">
        <v>0</v>
      </c>
      <c r="PY361">
        <v>0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1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0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1</v>
      </c>
    </row>
    <row r="362" spans="2:467" x14ac:dyDescent="0.4">
      <c r="B362" t="str">
        <f>"9784003900048"</f>
        <v>9784003900048</v>
      </c>
      <c r="C362" t="s">
        <v>1601</v>
      </c>
      <c r="D362" t="s">
        <v>1602</v>
      </c>
      <c r="E362" t="s">
        <v>1603</v>
      </c>
      <c r="G362" t="s">
        <v>521</v>
      </c>
      <c r="H362" t="str">
        <f>"0110"</f>
        <v>0110</v>
      </c>
      <c r="I362" t="s">
        <v>481</v>
      </c>
      <c r="J362" t="s">
        <v>487</v>
      </c>
      <c r="K362" t="s">
        <v>483</v>
      </c>
      <c r="L362" s="1">
        <v>44333</v>
      </c>
      <c r="M362">
        <v>780</v>
      </c>
      <c r="N362" t="str">
        <f>"133.4"</f>
        <v>133.4</v>
      </c>
      <c r="P362">
        <v>11</v>
      </c>
      <c r="Q362">
        <v>10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2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1</v>
      </c>
      <c r="CI362">
        <v>1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1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1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1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1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1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1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0</v>
      </c>
      <c r="NL362">
        <v>0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</v>
      </c>
      <c r="NS362">
        <v>0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C362">
        <v>0</v>
      </c>
      <c r="OD362">
        <v>0</v>
      </c>
      <c r="OE362">
        <v>0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0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1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</row>
    <row r="363" spans="2:467" hidden="1" x14ac:dyDescent="0.4">
      <c r="B363" t="str">
        <f>"9784106109034"</f>
        <v>9784106109034</v>
      </c>
      <c r="C363" t="s">
        <v>1621</v>
      </c>
      <c r="D363" t="s">
        <v>1622</v>
      </c>
      <c r="E363">
        <v>903</v>
      </c>
      <c r="G363" t="s">
        <v>516</v>
      </c>
      <c r="H363" t="str">
        <f>"0236"</f>
        <v>0236</v>
      </c>
      <c r="I363" t="s">
        <v>481</v>
      </c>
      <c r="J363" t="s">
        <v>482</v>
      </c>
      <c r="K363" t="s">
        <v>505</v>
      </c>
      <c r="L363" s="1">
        <v>44302</v>
      </c>
      <c r="M363">
        <v>720</v>
      </c>
      <c r="N363" t="str">
        <f>"141.72"</f>
        <v>141.72</v>
      </c>
      <c r="P363">
        <v>11</v>
      </c>
      <c r="Q363">
        <v>10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1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1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1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1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1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1</v>
      </c>
      <c r="IU363">
        <v>0</v>
      </c>
      <c r="IV363">
        <v>0</v>
      </c>
      <c r="IW363">
        <v>2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1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  <c r="NG363">
        <v>0</v>
      </c>
      <c r="NH363">
        <v>0</v>
      </c>
      <c r="NI363">
        <v>0</v>
      </c>
      <c r="NJ363">
        <v>0</v>
      </c>
      <c r="NK363">
        <v>0</v>
      </c>
      <c r="NL363">
        <v>0</v>
      </c>
      <c r="NM363">
        <v>0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0</v>
      </c>
      <c r="OF363">
        <v>0</v>
      </c>
      <c r="OG363">
        <v>0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0</v>
      </c>
      <c r="PH363">
        <v>0</v>
      </c>
      <c r="PI363">
        <v>1</v>
      </c>
      <c r="PJ363">
        <v>0</v>
      </c>
      <c r="PK363">
        <v>0</v>
      </c>
      <c r="PL363">
        <v>0</v>
      </c>
      <c r="PM363">
        <v>0</v>
      </c>
      <c r="PN363">
        <v>0</v>
      </c>
      <c r="PO363">
        <v>0</v>
      </c>
      <c r="PP363">
        <v>0</v>
      </c>
      <c r="PQ363">
        <v>0</v>
      </c>
      <c r="PR363">
        <v>0</v>
      </c>
      <c r="PS363">
        <v>0</v>
      </c>
      <c r="PT363">
        <v>1</v>
      </c>
      <c r="PU363">
        <v>0</v>
      </c>
      <c r="PV363">
        <v>0</v>
      </c>
      <c r="PW363">
        <v>0</v>
      </c>
      <c r="PX363">
        <v>0</v>
      </c>
      <c r="PY363">
        <v>0</v>
      </c>
      <c r="PZ363">
        <v>0</v>
      </c>
      <c r="QA363">
        <v>0</v>
      </c>
      <c r="QB363">
        <v>0</v>
      </c>
      <c r="QC363">
        <v>0</v>
      </c>
      <c r="QD363">
        <v>0</v>
      </c>
      <c r="QE363">
        <v>0</v>
      </c>
      <c r="QF363">
        <v>0</v>
      </c>
      <c r="QG363">
        <v>0</v>
      </c>
      <c r="QH363">
        <v>0</v>
      </c>
      <c r="QI363">
        <v>0</v>
      </c>
      <c r="QJ363">
        <v>0</v>
      </c>
      <c r="QK363">
        <v>0</v>
      </c>
      <c r="QL363">
        <v>0</v>
      </c>
      <c r="QM363">
        <v>0</v>
      </c>
      <c r="QN363">
        <v>0</v>
      </c>
      <c r="QO363">
        <v>0</v>
      </c>
      <c r="QP363">
        <v>0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</row>
    <row r="364" spans="2:467" x14ac:dyDescent="0.4">
      <c r="B364" t="str">
        <f>"9784065297285"</f>
        <v>9784065297285</v>
      </c>
      <c r="C364" t="s">
        <v>1623</v>
      </c>
      <c r="D364" t="s">
        <v>1624</v>
      </c>
      <c r="E364">
        <v>2703</v>
      </c>
      <c r="G364" t="s">
        <v>548</v>
      </c>
      <c r="H364" t="str">
        <f>"0147"</f>
        <v>0147</v>
      </c>
      <c r="I364" t="s">
        <v>481</v>
      </c>
      <c r="J364" t="s">
        <v>487</v>
      </c>
      <c r="K364" t="s">
        <v>670</v>
      </c>
      <c r="L364" s="1">
        <v>44847</v>
      </c>
      <c r="M364">
        <v>1150</v>
      </c>
      <c r="N364" t="str">
        <f>"493.7"</f>
        <v>493.7</v>
      </c>
      <c r="P364">
        <v>11</v>
      </c>
      <c r="Q364">
        <v>10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2</v>
      </c>
      <c r="CI364">
        <v>1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1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1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1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1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1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1</v>
      </c>
      <c r="NG364">
        <v>0</v>
      </c>
      <c r="NH364">
        <v>0</v>
      </c>
      <c r="NI364">
        <v>0</v>
      </c>
      <c r="NJ364">
        <v>0</v>
      </c>
      <c r="NK364">
        <v>0</v>
      </c>
      <c r="NL364">
        <v>0</v>
      </c>
      <c r="NM364">
        <v>0</v>
      </c>
      <c r="NN364">
        <v>0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1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0</v>
      </c>
      <c r="PB364">
        <v>0</v>
      </c>
      <c r="PC364">
        <v>0</v>
      </c>
      <c r="PD364">
        <v>0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0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0</v>
      </c>
      <c r="PT364">
        <v>0</v>
      </c>
      <c r="PU364">
        <v>0</v>
      </c>
      <c r="PV364">
        <v>0</v>
      </c>
      <c r="PW364">
        <v>0</v>
      </c>
      <c r="PX364">
        <v>0</v>
      </c>
      <c r="PY364">
        <v>0</v>
      </c>
      <c r="PZ364">
        <v>0</v>
      </c>
      <c r="QA364">
        <v>0</v>
      </c>
      <c r="QB364">
        <v>0</v>
      </c>
      <c r="QC364">
        <v>0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1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</row>
    <row r="365" spans="2:467" x14ac:dyDescent="0.4">
      <c r="B365" t="str">
        <f>"9784480438577"</f>
        <v>9784480438577</v>
      </c>
      <c r="C365" t="s">
        <v>1627</v>
      </c>
      <c r="D365" t="s">
        <v>1628</v>
      </c>
      <c r="E365" t="s">
        <v>1629</v>
      </c>
      <c r="G365" t="s">
        <v>501</v>
      </c>
      <c r="H365" t="str">
        <f>"0195"</f>
        <v>0195</v>
      </c>
      <c r="I365" t="s">
        <v>481</v>
      </c>
      <c r="J365" t="s">
        <v>487</v>
      </c>
      <c r="K365" t="s">
        <v>509</v>
      </c>
      <c r="L365" s="1">
        <v>44937</v>
      </c>
      <c r="M365">
        <v>800</v>
      </c>
      <c r="N365" t="str">
        <f>"914.6"</f>
        <v>914.6</v>
      </c>
      <c r="P365">
        <v>11</v>
      </c>
      <c r="Q365">
        <v>10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0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1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1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1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1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1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1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2</v>
      </c>
      <c r="NF365">
        <v>0</v>
      </c>
      <c r="NG365">
        <v>0</v>
      </c>
      <c r="NH365">
        <v>0</v>
      </c>
      <c r="NI365">
        <v>0</v>
      </c>
      <c r="NJ365">
        <v>0</v>
      </c>
      <c r="NK365">
        <v>0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0</v>
      </c>
      <c r="NR365">
        <v>0</v>
      </c>
      <c r="NS365">
        <v>0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0</v>
      </c>
      <c r="OD365">
        <v>0</v>
      </c>
      <c r="OE365">
        <v>0</v>
      </c>
      <c r="OF365">
        <v>0</v>
      </c>
      <c r="OG365">
        <v>0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</v>
      </c>
      <c r="PE365">
        <v>0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1</v>
      </c>
      <c r="PL365">
        <v>0</v>
      </c>
      <c r="PM365">
        <v>0</v>
      </c>
      <c r="PN365">
        <v>0</v>
      </c>
      <c r="PO365">
        <v>0</v>
      </c>
      <c r="PP365">
        <v>0</v>
      </c>
      <c r="PQ365">
        <v>0</v>
      </c>
      <c r="PR365">
        <v>0</v>
      </c>
      <c r="PS365">
        <v>0</v>
      </c>
      <c r="PT365">
        <v>0</v>
      </c>
      <c r="PU365">
        <v>0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0</v>
      </c>
      <c r="QO365">
        <v>0</v>
      </c>
      <c r="QP365">
        <v>0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</row>
    <row r="366" spans="2:467" x14ac:dyDescent="0.4">
      <c r="B366" t="str">
        <f>"9784167919825"</f>
        <v>9784167919825</v>
      </c>
      <c r="C366" t="s">
        <v>1630</v>
      </c>
      <c r="D366" t="s">
        <v>1335</v>
      </c>
      <c r="E366" t="s">
        <v>1631</v>
      </c>
      <c r="G366" t="s">
        <v>639</v>
      </c>
      <c r="H366" t="str">
        <f>"0193"</f>
        <v>0193</v>
      </c>
      <c r="I366" t="s">
        <v>481</v>
      </c>
      <c r="J366" t="s">
        <v>487</v>
      </c>
      <c r="K366" t="s">
        <v>488</v>
      </c>
      <c r="L366" s="1">
        <v>44930</v>
      </c>
      <c r="M366">
        <v>700</v>
      </c>
      <c r="N366" t="str">
        <f>"913.6"</f>
        <v>913.6</v>
      </c>
      <c r="P366">
        <v>11</v>
      </c>
      <c r="Q366">
        <v>10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1</v>
      </c>
      <c r="BP366">
        <v>0</v>
      </c>
      <c r="BQ366">
        <v>1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1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1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2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1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1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1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</v>
      </c>
      <c r="MU366">
        <v>0</v>
      </c>
      <c r="MV366">
        <v>1</v>
      </c>
      <c r="MW366">
        <v>0</v>
      </c>
      <c r="MX366">
        <v>0</v>
      </c>
      <c r="MY366">
        <v>0</v>
      </c>
      <c r="MZ366">
        <v>0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</v>
      </c>
      <c r="NK366">
        <v>0</v>
      </c>
      <c r="NL366">
        <v>0</v>
      </c>
      <c r="NM366">
        <v>0</v>
      </c>
      <c r="NN366">
        <v>0</v>
      </c>
      <c r="NO366">
        <v>0</v>
      </c>
      <c r="NP366">
        <v>0</v>
      </c>
      <c r="NQ366">
        <v>0</v>
      </c>
      <c r="NR366">
        <v>0</v>
      </c>
      <c r="NS366">
        <v>0</v>
      </c>
      <c r="NT366">
        <v>0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0</v>
      </c>
      <c r="OD366">
        <v>0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0</v>
      </c>
      <c r="ON366">
        <v>0</v>
      </c>
      <c r="OO366">
        <v>0</v>
      </c>
      <c r="OP366">
        <v>0</v>
      </c>
      <c r="OQ366">
        <v>0</v>
      </c>
      <c r="OR366">
        <v>0</v>
      </c>
      <c r="OS366">
        <v>1</v>
      </c>
      <c r="OT366">
        <v>0</v>
      </c>
      <c r="OU366">
        <v>0</v>
      </c>
      <c r="OV366">
        <v>0</v>
      </c>
      <c r="OW366">
        <v>0</v>
      </c>
      <c r="OX366">
        <v>0</v>
      </c>
      <c r="OY366">
        <v>0</v>
      </c>
      <c r="OZ366">
        <v>0</v>
      </c>
      <c r="PA366">
        <v>0</v>
      </c>
      <c r="PB366">
        <v>0</v>
      </c>
      <c r="PC366">
        <v>0</v>
      </c>
      <c r="PD366">
        <v>0</v>
      </c>
      <c r="PE366">
        <v>0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0</v>
      </c>
      <c r="PL366">
        <v>0</v>
      </c>
      <c r="PM366">
        <v>0</v>
      </c>
      <c r="PN366">
        <v>0</v>
      </c>
      <c r="PO366">
        <v>0</v>
      </c>
      <c r="PP366">
        <v>0</v>
      </c>
      <c r="PQ366">
        <v>0</v>
      </c>
      <c r="PR366">
        <v>0</v>
      </c>
      <c r="PS366">
        <v>0</v>
      </c>
      <c r="PT366">
        <v>0</v>
      </c>
      <c r="PU366">
        <v>0</v>
      </c>
      <c r="PV366">
        <v>0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</row>
    <row r="367" spans="2:467" hidden="1" x14ac:dyDescent="0.4">
      <c r="B367" t="str">
        <f>"9784004319498"</f>
        <v>9784004319498</v>
      </c>
      <c r="C367" t="s">
        <v>1655</v>
      </c>
      <c r="D367" t="s">
        <v>1656</v>
      </c>
      <c r="E367" t="s">
        <v>1657</v>
      </c>
      <c r="G367" t="s">
        <v>521</v>
      </c>
      <c r="H367" t="str">
        <f>"0292"</f>
        <v>0292</v>
      </c>
      <c r="I367" t="s">
        <v>481</v>
      </c>
      <c r="J367" t="s">
        <v>482</v>
      </c>
      <c r="K367" t="s">
        <v>492</v>
      </c>
      <c r="L367" s="1">
        <v>44886</v>
      </c>
      <c r="M367">
        <v>900</v>
      </c>
      <c r="N367" t="str">
        <f>"911.32"</f>
        <v>911.32</v>
      </c>
      <c r="P367">
        <v>11</v>
      </c>
      <c r="Q367">
        <v>10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2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1</v>
      </c>
      <c r="DC367">
        <v>1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1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1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1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1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1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1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0</v>
      </c>
      <c r="OI367">
        <v>0</v>
      </c>
      <c r="OJ367">
        <v>0</v>
      </c>
      <c r="OK367">
        <v>0</v>
      </c>
      <c r="OL367">
        <v>0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0</v>
      </c>
      <c r="PF367">
        <v>0</v>
      </c>
      <c r="PG367">
        <v>0</v>
      </c>
      <c r="PH367">
        <v>0</v>
      </c>
      <c r="PI367">
        <v>0</v>
      </c>
      <c r="PJ367">
        <v>0</v>
      </c>
      <c r="PK367">
        <v>0</v>
      </c>
      <c r="PL367">
        <v>0</v>
      </c>
      <c r="PM367">
        <v>0</v>
      </c>
      <c r="PN367">
        <v>0</v>
      </c>
      <c r="PO367">
        <v>0</v>
      </c>
      <c r="PP367">
        <v>0</v>
      </c>
      <c r="PQ367">
        <v>0</v>
      </c>
      <c r="PR367">
        <v>0</v>
      </c>
      <c r="PS367">
        <v>0</v>
      </c>
      <c r="PT367">
        <v>0</v>
      </c>
      <c r="PU367">
        <v>0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1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</row>
    <row r="368" spans="2:467" x14ac:dyDescent="0.4">
      <c r="B368" t="str">
        <f>"9784101344737"</f>
        <v>9784101344737</v>
      </c>
      <c r="C368" t="s">
        <v>1658</v>
      </c>
      <c r="D368" t="s">
        <v>1659</v>
      </c>
      <c r="E368" t="s">
        <v>1660</v>
      </c>
      <c r="G368" t="s">
        <v>516</v>
      </c>
      <c r="H368" t="str">
        <f>"0193"</f>
        <v>0193</v>
      </c>
      <c r="I368" t="s">
        <v>481</v>
      </c>
      <c r="J368" t="s">
        <v>487</v>
      </c>
      <c r="K368" t="s">
        <v>488</v>
      </c>
      <c r="L368" s="1">
        <v>44893</v>
      </c>
      <c r="M368">
        <v>1100</v>
      </c>
      <c r="N368" t="str">
        <f>"913.6"</f>
        <v>913.6</v>
      </c>
      <c r="P368">
        <v>11</v>
      </c>
      <c r="Q368">
        <v>10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1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1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1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1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1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1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1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1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1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2</v>
      </c>
      <c r="PJ368">
        <v>0</v>
      </c>
      <c r="PK368">
        <v>0</v>
      </c>
      <c r="PL368">
        <v>0</v>
      </c>
      <c r="PM368">
        <v>0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0</v>
      </c>
      <c r="QC368">
        <v>0</v>
      </c>
      <c r="QD368">
        <v>0</v>
      </c>
      <c r="QE368">
        <v>0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</row>
    <row r="369" spans="2:467" hidden="1" x14ac:dyDescent="0.4">
      <c r="B369" t="str">
        <f>"9784106108204"</f>
        <v>9784106108204</v>
      </c>
      <c r="C369" t="s">
        <v>1663</v>
      </c>
      <c r="D369" t="s">
        <v>1622</v>
      </c>
      <c r="E369">
        <v>820</v>
      </c>
      <c r="G369" t="s">
        <v>516</v>
      </c>
      <c r="H369" t="str">
        <f>"0236"</f>
        <v>0236</v>
      </c>
      <c r="I369" t="s">
        <v>481</v>
      </c>
      <c r="J369" t="s">
        <v>482</v>
      </c>
      <c r="K369" t="s">
        <v>505</v>
      </c>
      <c r="L369" s="1">
        <v>43658</v>
      </c>
      <c r="M369">
        <v>720</v>
      </c>
      <c r="N369" t="str">
        <f>"368.7"</f>
        <v>368.7</v>
      </c>
      <c r="P369">
        <v>11</v>
      </c>
      <c r="Q369">
        <v>10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1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1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1</v>
      </c>
      <c r="EE369">
        <v>0</v>
      </c>
      <c r="EF369">
        <v>1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1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1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2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1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</v>
      </c>
      <c r="PL369">
        <v>0</v>
      </c>
      <c r="PM369">
        <v>0</v>
      </c>
      <c r="PN369">
        <v>0</v>
      </c>
      <c r="PO369">
        <v>0</v>
      </c>
      <c r="PP369">
        <v>0</v>
      </c>
      <c r="PQ369">
        <v>0</v>
      </c>
      <c r="PR369">
        <v>0</v>
      </c>
      <c r="PS369">
        <v>0</v>
      </c>
      <c r="PT369">
        <v>0</v>
      </c>
      <c r="PU369">
        <v>1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</row>
    <row r="370" spans="2:467" hidden="1" x14ac:dyDescent="0.4">
      <c r="B370" t="str">
        <f>"9784121027122"</f>
        <v>9784121027122</v>
      </c>
      <c r="C370" t="s">
        <v>1666</v>
      </c>
      <c r="D370" t="s">
        <v>1667</v>
      </c>
      <c r="E370">
        <v>2712</v>
      </c>
      <c r="G370" t="s">
        <v>540</v>
      </c>
      <c r="H370" t="str">
        <f>"1221"</f>
        <v>1221</v>
      </c>
      <c r="I370" t="s">
        <v>541</v>
      </c>
      <c r="J370" t="s">
        <v>482</v>
      </c>
      <c r="K370" t="s">
        <v>620</v>
      </c>
      <c r="L370" s="1">
        <v>44792</v>
      </c>
      <c r="M370">
        <v>860</v>
      </c>
      <c r="N370" t="str">
        <f>"221.06"</f>
        <v>221.06</v>
      </c>
      <c r="P370">
        <v>11</v>
      </c>
      <c r="Q370">
        <v>10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1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1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1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1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1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1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1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2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1</v>
      </c>
      <c r="PA370">
        <v>0</v>
      </c>
      <c r="PB370">
        <v>0</v>
      </c>
      <c r="PC370">
        <v>0</v>
      </c>
      <c r="PD370">
        <v>0</v>
      </c>
      <c r="PE370">
        <v>0</v>
      </c>
      <c r="PF370">
        <v>0</v>
      </c>
      <c r="PG370">
        <v>0</v>
      </c>
      <c r="PH370">
        <v>0</v>
      </c>
      <c r="PI370">
        <v>0</v>
      </c>
      <c r="PJ370">
        <v>0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1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</row>
    <row r="371" spans="2:467" x14ac:dyDescent="0.4">
      <c r="B371" t="str">
        <f>"9784003394311"</f>
        <v>9784003394311</v>
      </c>
      <c r="C371" t="s">
        <v>1668</v>
      </c>
      <c r="D371" t="s">
        <v>1669</v>
      </c>
      <c r="E371" t="s">
        <v>1670</v>
      </c>
      <c r="G371" t="s">
        <v>521</v>
      </c>
      <c r="H371" t="str">
        <f>"0145"</f>
        <v>0145</v>
      </c>
      <c r="I371" t="s">
        <v>481</v>
      </c>
      <c r="J371" t="s">
        <v>487</v>
      </c>
      <c r="K371" t="s">
        <v>593</v>
      </c>
      <c r="L371" s="1">
        <v>38504</v>
      </c>
      <c r="M371">
        <v>720</v>
      </c>
      <c r="N371" t="str">
        <f>"481.78"</f>
        <v>481.78</v>
      </c>
      <c r="P371">
        <v>11</v>
      </c>
      <c r="Q371">
        <v>10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1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1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1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1</v>
      </c>
      <c r="JM371">
        <v>2</v>
      </c>
      <c r="JN371">
        <v>0</v>
      </c>
      <c r="JO371">
        <v>0</v>
      </c>
      <c r="JP371">
        <v>0</v>
      </c>
      <c r="JQ371">
        <v>1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1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0</v>
      </c>
      <c r="NL371">
        <v>1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1</v>
      </c>
      <c r="PL371">
        <v>0</v>
      </c>
      <c r="PM371">
        <v>0</v>
      </c>
      <c r="PN371">
        <v>0</v>
      </c>
      <c r="PO371">
        <v>0</v>
      </c>
      <c r="PP371">
        <v>0</v>
      </c>
      <c r="PQ371">
        <v>0</v>
      </c>
      <c r="PR371">
        <v>0</v>
      </c>
      <c r="PS371">
        <v>0</v>
      </c>
      <c r="PT371">
        <v>0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1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</row>
    <row r="372" spans="2:467" hidden="1" x14ac:dyDescent="0.4">
      <c r="B372" t="str">
        <f>"9784344986794"</f>
        <v>9784344986794</v>
      </c>
      <c r="C372" t="s">
        <v>1671</v>
      </c>
      <c r="D372" t="s">
        <v>1672</v>
      </c>
      <c r="E372">
        <v>677</v>
      </c>
      <c r="G372" t="s">
        <v>714</v>
      </c>
      <c r="H372" t="str">
        <f>"0295"</f>
        <v>0295</v>
      </c>
      <c r="I372" t="s">
        <v>481</v>
      </c>
      <c r="J372" t="s">
        <v>482</v>
      </c>
      <c r="K372" t="s">
        <v>509</v>
      </c>
      <c r="L372" s="1">
        <v>44930</v>
      </c>
      <c r="M372">
        <v>900</v>
      </c>
      <c r="N372" t="str">
        <f>"493.75"</f>
        <v>493.75</v>
      </c>
      <c r="P372">
        <v>10</v>
      </c>
      <c r="Q372">
        <v>10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1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1</v>
      </c>
      <c r="IK372">
        <v>0</v>
      </c>
      <c r="IL372">
        <v>0</v>
      </c>
      <c r="IM372">
        <v>0</v>
      </c>
      <c r="IN372">
        <v>0</v>
      </c>
      <c r="IO372">
        <v>1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1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1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1</v>
      </c>
      <c r="LS372">
        <v>1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0</v>
      </c>
      <c r="MW372">
        <v>0</v>
      </c>
      <c r="MX372">
        <v>0</v>
      </c>
      <c r="MY372">
        <v>0</v>
      </c>
      <c r="MZ372">
        <v>0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0</v>
      </c>
      <c r="NG372">
        <v>0</v>
      </c>
      <c r="NH372">
        <v>0</v>
      </c>
      <c r="NI372">
        <v>0</v>
      </c>
      <c r="NJ372">
        <v>0</v>
      </c>
      <c r="NK372">
        <v>0</v>
      </c>
      <c r="NL372">
        <v>0</v>
      </c>
      <c r="NM372">
        <v>0</v>
      </c>
      <c r="NN372">
        <v>0</v>
      </c>
      <c r="NO372">
        <v>0</v>
      </c>
      <c r="NP372">
        <v>1</v>
      </c>
      <c r="NQ372">
        <v>0</v>
      </c>
      <c r="NR372">
        <v>0</v>
      </c>
      <c r="NS372">
        <v>0</v>
      </c>
      <c r="NT372">
        <v>0</v>
      </c>
      <c r="NU372">
        <v>0</v>
      </c>
      <c r="NV372">
        <v>0</v>
      </c>
      <c r="NW372">
        <v>0</v>
      </c>
      <c r="NX372">
        <v>0</v>
      </c>
      <c r="NY372">
        <v>0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0</v>
      </c>
      <c r="OH372">
        <v>0</v>
      </c>
      <c r="OI372">
        <v>0</v>
      </c>
      <c r="OJ372">
        <v>0</v>
      </c>
      <c r="OK372">
        <v>0</v>
      </c>
      <c r="OL372">
        <v>1</v>
      </c>
      <c r="OM372">
        <v>0</v>
      </c>
      <c r="ON372">
        <v>0</v>
      </c>
      <c r="OO372">
        <v>0</v>
      </c>
      <c r="OP372">
        <v>0</v>
      </c>
      <c r="OQ372">
        <v>0</v>
      </c>
      <c r="OR372">
        <v>0</v>
      </c>
      <c r="OS372">
        <v>0</v>
      </c>
      <c r="OT372">
        <v>0</v>
      </c>
      <c r="OU372">
        <v>0</v>
      </c>
      <c r="OV372">
        <v>0</v>
      </c>
      <c r="OW372">
        <v>0</v>
      </c>
      <c r="OX372">
        <v>0</v>
      </c>
      <c r="OY372">
        <v>0</v>
      </c>
      <c r="OZ372">
        <v>0</v>
      </c>
      <c r="PA372">
        <v>0</v>
      </c>
      <c r="PB372">
        <v>0</v>
      </c>
      <c r="PC372">
        <v>0</v>
      </c>
      <c r="PD372">
        <v>0</v>
      </c>
      <c r="PE372">
        <v>0</v>
      </c>
      <c r="PF372">
        <v>0</v>
      </c>
      <c r="PG372">
        <v>0</v>
      </c>
      <c r="PH372">
        <v>0</v>
      </c>
      <c r="PI372">
        <v>0</v>
      </c>
      <c r="PJ372">
        <v>0</v>
      </c>
      <c r="PK372">
        <v>0</v>
      </c>
      <c r="PL372">
        <v>0</v>
      </c>
      <c r="PM372">
        <v>0</v>
      </c>
      <c r="PN372">
        <v>0</v>
      </c>
      <c r="PO372">
        <v>0</v>
      </c>
      <c r="PP372">
        <v>0</v>
      </c>
      <c r="PQ372">
        <v>0</v>
      </c>
      <c r="PR372">
        <v>0</v>
      </c>
      <c r="PS372">
        <v>0</v>
      </c>
      <c r="PT372">
        <v>0</v>
      </c>
      <c r="PU372">
        <v>0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0</v>
      </c>
      <c r="QC372">
        <v>0</v>
      </c>
      <c r="QD372">
        <v>0</v>
      </c>
      <c r="QE372">
        <v>0</v>
      </c>
      <c r="QF372">
        <v>0</v>
      </c>
      <c r="QG372">
        <v>0</v>
      </c>
      <c r="QH372">
        <v>0</v>
      </c>
      <c r="QI372">
        <v>0</v>
      </c>
      <c r="QJ372">
        <v>0</v>
      </c>
      <c r="QK372">
        <v>0</v>
      </c>
      <c r="QL372">
        <v>0</v>
      </c>
      <c r="QM372">
        <v>0</v>
      </c>
      <c r="QN372">
        <v>0</v>
      </c>
      <c r="QO372">
        <v>0</v>
      </c>
      <c r="QP372">
        <v>0</v>
      </c>
      <c r="QQ372">
        <v>0</v>
      </c>
      <c r="QR372">
        <v>0</v>
      </c>
      <c r="QS372">
        <v>0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</row>
    <row r="373" spans="2:467" hidden="1" x14ac:dyDescent="0.4">
      <c r="B373" t="str">
        <f>"9784140886892"</f>
        <v>9784140886892</v>
      </c>
      <c r="C373" t="s">
        <v>1698</v>
      </c>
      <c r="D373" t="s">
        <v>1699</v>
      </c>
      <c r="E373">
        <v>689</v>
      </c>
      <c r="G373" t="s">
        <v>480</v>
      </c>
      <c r="H373" t="str">
        <f>"0245"</f>
        <v>0245</v>
      </c>
      <c r="I373" t="s">
        <v>481</v>
      </c>
      <c r="J373" t="s">
        <v>482</v>
      </c>
      <c r="K373" t="s">
        <v>593</v>
      </c>
      <c r="L373" s="1">
        <v>44904</v>
      </c>
      <c r="M373">
        <v>930</v>
      </c>
      <c r="N373" t="str">
        <f>"469.2"</f>
        <v>469.2</v>
      </c>
      <c r="P373">
        <v>10</v>
      </c>
      <c r="Q373">
        <v>10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1</v>
      </c>
      <c r="BN373">
        <v>0</v>
      </c>
      <c r="BO373">
        <v>0</v>
      </c>
      <c r="BP373">
        <v>0</v>
      </c>
      <c r="BQ373">
        <v>0</v>
      </c>
      <c r="BR373">
        <v>1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1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1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1</v>
      </c>
      <c r="GJ373">
        <v>0</v>
      </c>
      <c r="GK373">
        <v>0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1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1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1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1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</row>
    <row r="374" spans="2:467" hidden="1" x14ac:dyDescent="0.4">
      <c r="B374" t="str">
        <f>"9784569853666"</f>
        <v>9784569853666</v>
      </c>
      <c r="C374" t="s">
        <v>1700</v>
      </c>
      <c r="D374" t="s">
        <v>1701</v>
      </c>
      <c r="E374">
        <v>1336</v>
      </c>
      <c r="G374" t="s">
        <v>717</v>
      </c>
      <c r="H374" t="str">
        <f>"0236"</f>
        <v>0236</v>
      </c>
      <c r="I374" t="s">
        <v>481</v>
      </c>
      <c r="J374" t="s">
        <v>482</v>
      </c>
      <c r="K374" t="s">
        <v>505</v>
      </c>
      <c r="L374" s="1">
        <v>44914</v>
      </c>
      <c r="M374">
        <v>1030</v>
      </c>
      <c r="N374" t="str">
        <f>"369.4"</f>
        <v>369.4</v>
      </c>
      <c r="P374">
        <v>10</v>
      </c>
      <c r="Q374">
        <v>10</v>
      </c>
      <c r="R374">
        <v>0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1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1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1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1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1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1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1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0</v>
      </c>
      <c r="NL374">
        <v>0</v>
      </c>
      <c r="NM374">
        <v>0</v>
      </c>
      <c r="NN374">
        <v>0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1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</v>
      </c>
      <c r="PU374">
        <v>0</v>
      </c>
      <c r="PV374">
        <v>0</v>
      </c>
      <c r="PW374">
        <v>0</v>
      </c>
      <c r="PX374">
        <v>0</v>
      </c>
      <c r="PY374">
        <v>0</v>
      </c>
      <c r="PZ374">
        <v>0</v>
      </c>
      <c r="QA374">
        <v>0</v>
      </c>
      <c r="QB374">
        <v>0</v>
      </c>
      <c r="QC374">
        <v>0</v>
      </c>
      <c r="QD374">
        <v>0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</row>
    <row r="375" spans="2:467" x14ac:dyDescent="0.4">
      <c r="B375" t="str">
        <f>"9784396347185"</f>
        <v>9784396347185</v>
      </c>
      <c r="C375" t="s">
        <v>1717</v>
      </c>
      <c r="D375" t="s">
        <v>1718</v>
      </c>
      <c r="E375" t="s">
        <v>1719</v>
      </c>
      <c r="G375" t="s">
        <v>1387</v>
      </c>
      <c r="H375" t="str">
        <f>"0193"</f>
        <v>0193</v>
      </c>
      <c r="I375" t="s">
        <v>481</v>
      </c>
      <c r="J375" t="s">
        <v>487</v>
      </c>
      <c r="K375" t="s">
        <v>488</v>
      </c>
      <c r="L375" s="1">
        <v>44302</v>
      </c>
      <c r="M375">
        <v>690</v>
      </c>
      <c r="N375" t="str">
        <f>"913.6"</f>
        <v>913.6</v>
      </c>
      <c r="P375">
        <v>10</v>
      </c>
      <c r="Q375">
        <v>10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1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1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1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1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1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1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1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1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</v>
      </c>
      <c r="NK375">
        <v>0</v>
      </c>
      <c r="NL375">
        <v>0</v>
      </c>
      <c r="NM375">
        <v>0</v>
      </c>
      <c r="NN375">
        <v>0</v>
      </c>
      <c r="NO375">
        <v>0</v>
      </c>
      <c r="NP375">
        <v>0</v>
      </c>
      <c r="NQ375">
        <v>0</v>
      </c>
      <c r="NR375">
        <v>0</v>
      </c>
      <c r="NS375">
        <v>0</v>
      </c>
      <c r="NT375">
        <v>0</v>
      </c>
      <c r="NU375">
        <v>0</v>
      </c>
      <c r="NV375">
        <v>0</v>
      </c>
      <c r="NW375">
        <v>0</v>
      </c>
      <c r="NX375">
        <v>0</v>
      </c>
      <c r="NY375">
        <v>0</v>
      </c>
      <c r="NZ375">
        <v>0</v>
      </c>
      <c r="OA375">
        <v>0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</v>
      </c>
      <c r="OK375">
        <v>0</v>
      </c>
      <c r="OL375">
        <v>0</v>
      </c>
      <c r="OM375">
        <v>0</v>
      </c>
      <c r="ON375">
        <v>0</v>
      </c>
      <c r="OO375">
        <v>0</v>
      </c>
      <c r="OP375">
        <v>0</v>
      </c>
      <c r="OQ375">
        <v>0</v>
      </c>
      <c r="OR375">
        <v>0</v>
      </c>
      <c r="OS375">
        <v>0</v>
      </c>
      <c r="OT375">
        <v>0</v>
      </c>
      <c r="OU375">
        <v>0</v>
      </c>
      <c r="OV375">
        <v>0</v>
      </c>
      <c r="OW375">
        <v>0</v>
      </c>
      <c r="OX375">
        <v>0</v>
      </c>
      <c r="OY375">
        <v>0</v>
      </c>
      <c r="OZ375">
        <v>0</v>
      </c>
      <c r="PA375">
        <v>0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0</v>
      </c>
      <c r="PL375">
        <v>0</v>
      </c>
      <c r="PM375">
        <v>0</v>
      </c>
      <c r="PN375">
        <v>0</v>
      </c>
      <c r="PO375">
        <v>0</v>
      </c>
      <c r="PP375">
        <v>0</v>
      </c>
      <c r="PQ375">
        <v>0</v>
      </c>
      <c r="PR375">
        <v>0</v>
      </c>
      <c r="PS375">
        <v>0</v>
      </c>
      <c r="PT375">
        <v>0</v>
      </c>
      <c r="PU375">
        <v>0</v>
      </c>
      <c r="PV375">
        <v>0</v>
      </c>
      <c r="PW375">
        <v>0</v>
      </c>
      <c r="PX375">
        <v>0</v>
      </c>
      <c r="PY375">
        <v>0</v>
      </c>
      <c r="PZ375">
        <v>0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0</v>
      </c>
      <c r="QJ375">
        <v>0</v>
      </c>
      <c r="QK375">
        <v>0</v>
      </c>
      <c r="QL375">
        <v>0</v>
      </c>
      <c r="QM375">
        <v>0</v>
      </c>
      <c r="QN375">
        <v>0</v>
      </c>
      <c r="QO375">
        <v>1</v>
      </c>
      <c r="QP375">
        <v>0</v>
      </c>
      <c r="QQ375">
        <v>1</v>
      </c>
      <c r="QR375">
        <v>0</v>
      </c>
      <c r="QS375">
        <v>0</v>
      </c>
      <c r="QT375">
        <v>0</v>
      </c>
      <c r="QU375">
        <v>0</v>
      </c>
      <c r="QV375">
        <v>0</v>
      </c>
      <c r="QW375">
        <v>0</v>
      </c>
      <c r="QX375">
        <v>0</v>
      </c>
      <c r="QY375">
        <v>0</v>
      </c>
    </row>
    <row r="376" spans="2:467" x14ac:dyDescent="0.4">
      <c r="B376" t="str">
        <f>"9784344427303"</f>
        <v>9784344427303</v>
      </c>
      <c r="C376" t="s">
        <v>1723</v>
      </c>
      <c r="D376" t="s">
        <v>1077</v>
      </c>
      <c r="E376" t="s">
        <v>1724</v>
      </c>
      <c r="G376" t="s">
        <v>714</v>
      </c>
      <c r="H376" t="str">
        <f>"0193"</f>
        <v>0193</v>
      </c>
      <c r="I376" t="s">
        <v>481</v>
      </c>
      <c r="J376" t="s">
        <v>487</v>
      </c>
      <c r="K376" t="s">
        <v>488</v>
      </c>
      <c r="L376" s="1">
        <v>43250</v>
      </c>
      <c r="M376">
        <v>790</v>
      </c>
      <c r="N376" t="str">
        <f>"913.6"</f>
        <v>913.6</v>
      </c>
      <c r="P376">
        <v>10</v>
      </c>
      <c r="Q376">
        <v>10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1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1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1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1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1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1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1</v>
      </c>
      <c r="LS376">
        <v>0</v>
      </c>
      <c r="LT376">
        <v>0</v>
      </c>
      <c r="LU376">
        <v>0</v>
      </c>
      <c r="LV376">
        <v>0</v>
      </c>
      <c r="LW376">
        <v>1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1</v>
      </c>
      <c r="QL376">
        <v>0</v>
      </c>
      <c r="QM376">
        <v>0</v>
      </c>
      <c r="QN376">
        <v>0</v>
      </c>
      <c r="QO376">
        <v>0</v>
      </c>
      <c r="QP376">
        <v>0</v>
      </c>
      <c r="QQ376">
        <v>0</v>
      </c>
      <c r="QR376">
        <v>0</v>
      </c>
      <c r="QS376">
        <v>0</v>
      </c>
      <c r="QT376">
        <v>0</v>
      </c>
      <c r="QU376">
        <v>0</v>
      </c>
      <c r="QV376">
        <v>0</v>
      </c>
      <c r="QW376">
        <v>0</v>
      </c>
      <c r="QX376">
        <v>1</v>
      </c>
      <c r="QY376">
        <v>0</v>
      </c>
    </row>
    <row r="377" spans="2:467" x14ac:dyDescent="0.4">
      <c r="B377" t="str">
        <f>"9784479320449"</f>
        <v>9784479320449</v>
      </c>
      <c r="C377" t="s">
        <v>1734</v>
      </c>
      <c r="D377" t="s">
        <v>1735</v>
      </c>
      <c r="E377" t="s">
        <v>1736</v>
      </c>
      <c r="G377" t="s">
        <v>1061</v>
      </c>
      <c r="H377" t="str">
        <f>"0195"</f>
        <v>0195</v>
      </c>
      <c r="I377" t="s">
        <v>481</v>
      </c>
      <c r="J377" t="s">
        <v>487</v>
      </c>
      <c r="K377" t="s">
        <v>509</v>
      </c>
      <c r="L377" s="1">
        <v>44937</v>
      </c>
      <c r="M377">
        <v>800</v>
      </c>
      <c r="N377" t="str">
        <f>"385.9"</f>
        <v>385.9</v>
      </c>
      <c r="P377">
        <v>10</v>
      </c>
      <c r="Q377">
        <v>10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1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1</v>
      </c>
      <c r="EU377">
        <v>0</v>
      </c>
      <c r="EV377">
        <v>1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1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1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1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1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1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1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0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0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0</v>
      </c>
      <c r="PT377">
        <v>1</v>
      </c>
      <c r="PU377">
        <v>0</v>
      </c>
      <c r="PV377">
        <v>0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</row>
    <row r="378" spans="2:467" hidden="1" x14ac:dyDescent="0.4">
      <c r="B378" t="str">
        <f>"9784909946492"</f>
        <v>9784909946492</v>
      </c>
      <c r="C378" t="s">
        <v>1748</v>
      </c>
      <c r="D378" t="s">
        <v>1749</v>
      </c>
      <c r="G378" t="s">
        <v>1749</v>
      </c>
      <c r="H378" t="str">
        <f>""</f>
        <v/>
      </c>
      <c r="L378" s="1">
        <v>44950</v>
      </c>
      <c r="M378">
        <v>2350</v>
      </c>
      <c r="N378" t="str">
        <f>"338.05"</f>
        <v>338.05</v>
      </c>
      <c r="P378">
        <v>10</v>
      </c>
      <c r="Q378">
        <v>10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1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1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1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1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1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1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1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1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</v>
      </c>
      <c r="NS378">
        <v>0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1</v>
      </c>
      <c r="OC378">
        <v>0</v>
      </c>
      <c r="OD378">
        <v>0</v>
      </c>
      <c r="OE378">
        <v>0</v>
      </c>
      <c r="OF378">
        <v>0</v>
      </c>
      <c r="OG378">
        <v>0</v>
      </c>
      <c r="OH378">
        <v>0</v>
      </c>
      <c r="OI378">
        <v>0</v>
      </c>
      <c r="OJ378">
        <v>0</v>
      </c>
      <c r="OK378">
        <v>0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0</v>
      </c>
      <c r="OT378">
        <v>0</v>
      </c>
      <c r="OU378">
        <v>0</v>
      </c>
      <c r="OV378">
        <v>0</v>
      </c>
      <c r="OW378">
        <v>0</v>
      </c>
      <c r="OX378">
        <v>0</v>
      </c>
      <c r="OY378">
        <v>0</v>
      </c>
      <c r="OZ378">
        <v>0</v>
      </c>
      <c r="PA378">
        <v>0</v>
      </c>
      <c r="PB378">
        <v>0</v>
      </c>
      <c r="PC378">
        <v>0</v>
      </c>
      <c r="PD378">
        <v>0</v>
      </c>
      <c r="PE378">
        <v>0</v>
      </c>
      <c r="PF378">
        <v>0</v>
      </c>
      <c r="PG378">
        <v>0</v>
      </c>
      <c r="PH378">
        <v>0</v>
      </c>
      <c r="PI378">
        <v>0</v>
      </c>
      <c r="PJ378">
        <v>0</v>
      </c>
      <c r="PK378">
        <v>0</v>
      </c>
      <c r="PL378">
        <v>0</v>
      </c>
      <c r="PM378">
        <v>0</v>
      </c>
      <c r="PN378">
        <v>0</v>
      </c>
      <c r="PO378">
        <v>0</v>
      </c>
      <c r="PP378">
        <v>0</v>
      </c>
      <c r="PQ378">
        <v>0</v>
      </c>
      <c r="PR378">
        <v>0</v>
      </c>
      <c r="PS378">
        <v>0</v>
      </c>
      <c r="PT378">
        <v>0</v>
      </c>
      <c r="PU378">
        <v>0</v>
      </c>
      <c r="PV378">
        <v>0</v>
      </c>
      <c r="PW378">
        <v>0</v>
      </c>
      <c r="PX378">
        <v>0</v>
      </c>
      <c r="PY378">
        <v>0</v>
      </c>
      <c r="PZ378">
        <v>0</v>
      </c>
      <c r="QA378">
        <v>0</v>
      </c>
      <c r="QB378">
        <v>0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</row>
    <row r="379" spans="2:467" x14ac:dyDescent="0.4">
      <c r="B379" t="str">
        <f>"9784480095756"</f>
        <v>9784480095756</v>
      </c>
      <c r="C379" t="s">
        <v>1755</v>
      </c>
      <c r="D379" t="s">
        <v>1756</v>
      </c>
      <c r="E379" t="s">
        <v>1757</v>
      </c>
      <c r="G379" t="s">
        <v>501</v>
      </c>
      <c r="H379" t="str">
        <f>"0110"</f>
        <v>0110</v>
      </c>
      <c r="I379" t="s">
        <v>481</v>
      </c>
      <c r="J379" t="s">
        <v>487</v>
      </c>
      <c r="K379" t="s">
        <v>483</v>
      </c>
      <c r="L379" s="1">
        <v>42075</v>
      </c>
      <c r="M379">
        <v>1100</v>
      </c>
      <c r="N379" t="str">
        <f>"401"</f>
        <v>401</v>
      </c>
      <c r="P379">
        <v>10</v>
      </c>
      <c r="Q379">
        <v>10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1</v>
      </c>
      <c r="CJ379">
        <v>1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1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1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1</v>
      </c>
      <c r="FU379">
        <v>0</v>
      </c>
      <c r="FV379">
        <v>1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1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1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1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1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0</v>
      </c>
      <c r="PI379">
        <v>0</v>
      </c>
      <c r="PJ379">
        <v>0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</row>
    <row r="380" spans="2:467" x14ac:dyDescent="0.4">
      <c r="B380" t="str">
        <f>"9784167907822"</f>
        <v>9784167907822</v>
      </c>
      <c r="C380" t="s">
        <v>1765</v>
      </c>
      <c r="D380" t="s">
        <v>1766</v>
      </c>
      <c r="E380" t="s">
        <v>1767</v>
      </c>
      <c r="G380" t="s">
        <v>639</v>
      </c>
      <c r="H380" t="str">
        <f>"0193"</f>
        <v>0193</v>
      </c>
      <c r="I380" t="s">
        <v>481</v>
      </c>
      <c r="J380" t="s">
        <v>487</v>
      </c>
      <c r="K380" t="s">
        <v>488</v>
      </c>
      <c r="L380" s="1">
        <v>42776</v>
      </c>
      <c r="M380">
        <v>600</v>
      </c>
      <c r="N380" t="str">
        <f>"913.6"</f>
        <v>913.6</v>
      </c>
      <c r="P380">
        <v>10</v>
      </c>
      <c r="Q380">
        <v>10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1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1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1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1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1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1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1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1</v>
      </c>
      <c r="NF380">
        <v>0</v>
      </c>
      <c r="NG380">
        <v>0</v>
      </c>
      <c r="NH380">
        <v>0</v>
      </c>
      <c r="NI380">
        <v>0</v>
      </c>
      <c r="NJ380">
        <v>0</v>
      </c>
      <c r="NK380">
        <v>0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1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0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0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0</v>
      </c>
      <c r="PT380">
        <v>0</v>
      </c>
      <c r="PU380">
        <v>0</v>
      </c>
      <c r="PV380">
        <v>0</v>
      </c>
      <c r="PW380">
        <v>0</v>
      </c>
      <c r="PX380">
        <v>0</v>
      </c>
      <c r="PY380">
        <v>0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</row>
    <row r="381" spans="2:467" hidden="1" x14ac:dyDescent="0.4">
      <c r="B381" t="str">
        <f>"9784065295076"</f>
        <v>9784065295076</v>
      </c>
      <c r="C381" t="s">
        <v>1768</v>
      </c>
      <c r="D381" t="s">
        <v>1769</v>
      </c>
      <c r="E381">
        <v>2676</v>
      </c>
      <c r="G381" t="s">
        <v>548</v>
      </c>
      <c r="H381" t="str">
        <f>"0210"</f>
        <v>0210</v>
      </c>
      <c r="I381" t="s">
        <v>481</v>
      </c>
      <c r="J381" t="s">
        <v>482</v>
      </c>
      <c r="K381" t="s">
        <v>483</v>
      </c>
      <c r="L381" s="1">
        <v>44818</v>
      </c>
      <c r="M381">
        <v>1100</v>
      </c>
      <c r="N381" t="str">
        <f>"100"</f>
        <v>100</v>
      </c>
      <c r="P381">
        <v>10</v>
      </c>
      <c r="Q381">
        <v>10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1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1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1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1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1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1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0</v>
      </c>
      <c r="NG381">
        <v>0</v>
      </c>
      <c r="NH381">
        <v>0</v>
      </c>
      <c r="NI381">
        <v>0</v>
      </c>
      <c r="NJ381">
        <v>0</v>
      </c>
      <c r="NK381">
        <v>0</v>
      </c>
      <c r="NL381">
        <v>0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1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1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1</v>
      </c>
      <c r="PA381">
        <v>0</v>
      </c>
      <c r="PB381">
        <v>0</v>
      </c>
      <c r="PC381">
        <v>0</v>
      </c>
      <c r="PD381">
        <v>0</v>
      </c>
      <c r="PE381">
        <v>0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0</v>
      </c>
      <c r="PL381">
        <v>0</v>
      </c>
      <c r="PM381">
        <v>0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0</v>
      </c>
      <c r="PT381">
        <v>0</v>
      </c>
      <c r="PU381">
        <v>0</v>
      </c>
      <c r="PV381">
        <v>0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0</v>
      </c>
      <c r="QG381">
        <v>0</v>
      </c>
      <c r="QH381">
        <v>0</v>
      </c>
      <c r="QI381">
        <v>0</v>
      </c>
      <c r="QJ381">
        <v>0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0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</row>
    <row r="382" spans="2:467" hidden="1" x14ac:dyDescent="0.4">
      <c r="B382" t="str">
        <f>"9784582860184"</f>
        <v>9784582860184</v>
      </c>
      <c r="C382" t="s">
        <v>1778</v>
      </c>
      <c r="D382" t="s">
        <v>1779</v>
      </c>
      <c r="E382">
        <v>1018</v>
      </c>
      <c r="G382" t="s">
        <v>669</v>
      </c>
      <c r="H382" t="str">
        <f>"0277"</f>
        <v>0277</v>
      </c>
      <c r="I382" t="s">
        <v>481</v>
      </c>
      <c r="J382" t="s">
        <v>482</v>
      </c>
      <c r="K382" t="s">
        <v>1006</v>
      </c>
      <c r="L382" s="1">
        <v>44914</v>
      </c>
      <c r="M382">
        <v>880</v>
      </c>
      <c r="N382" t="str">
        <f>"383.8"</f>
        <v>383.8</v>
      </c>
      <c r="P382">
        <v>10</v>
      </c>
      <c r="Q382">
        <v>10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1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1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1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1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1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1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1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1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0</v>
      </c>
      <c r="NK382">
        <v>0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  <c r="PB382">
        <v>0</v>
      </c>
      <c r="PC382">
        <v>0</v>
      </c>
      <c r="PD382">
        <v>0</v>
      </c>
      <c r="PE382">
        <v>0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0</v>
      </c>
      <c r="PL382">
        <v>0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0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1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</row>
    <row r="383" spans="2:467" hidden="1" x14ac:dyDescent="0.4">
      <c r="B383" t="str">
        <f>"9784004319481"</f>
        <v>9784004319481</v>
      </c>
      <c r="C383" t="s">
        <v>1780</v>
      </c>
      <c r="D383" t="s">
        <v>1781</v>
      </c>
      <c r="E383" t="s">
        <v>1782</v>
      </c>
      <c r="G383" t="s">
        <v>521</v>
      </c>
      <c r="H383" t="str">
        <f>"0295"</f>
        <v>0295</v>
      </c>
      <c r="I383" t="s">
        <v>481</v>
      </c>
      <c r="J383" t="s">
        <v>482</v>
      </c>
      <c r="K383" t="s">
        <v>509</v>
      </c>
      <c r="L383" s="1">
        <v>44886</v>
      </c>
      <c r="M383">
        <v>900</v>
      </c>
      <c r="N383" t="str">
        <f>"914.6"</f>
        <v>914.6</v>
      </c>
      <c r="P383">
        <v>10</v>
      </c>
      <c r="Q383">
        <v>10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1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1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1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1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1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1</v>
      </c>
      <c r="NF383">
        <v>0</v>
      </c>
      <c r="NG383">
        <v>0</v>
      </c>
      <c r="NH383">
        <v>0</v>
      </c>
      <c r="NI383">
        <v>0</v>
      </c>
      <c r="NJ383">
        <v>0</v>
      </c>
      <c r="NK383">
        <v>0</v>
      </c>
      <c r="NL383">
        <v>0</v>
      </c>
      <c r="NM383">
        <v>0</v>
      </c>
      <c r="NN383">
        <v>1</v>
      </c>
      <c r="NO383">
        <v>0</v>
      </c>
      <c r="NP383">
        <v>0</v>
      </c>
      <c r="NQ383">
        <v>0</v>
      </c>
      <c r="NR383">
        <v>1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0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0</v>
      </c>
      <c r="PI383">
        <v>0</v>
      </c>
      <c r="PJ383">
        <v>1</v>
      </c>
      <c r="PK383">
        <v>0</v>
      </c>
      <c r="PL383">
        <v>0</v>
      </c>
      <c r="PM383">
        <v>0</v>
      </c>
      <c r="PN383">
        <v>0</v>
      </c>
      <c r="PO383">
        <v>0</v>
      </c>
      <c r="PP383">
        <v>0</v>
      </c>
      <c r="PQ383">
        <v>0</v>
      </c>
      <c r="PR383">
        <v>0</v>
      </c>
      <c r="PS383">
        <v>0</v>
      </c>
      <c r="PT383">
        <v>0</v>
      </c>
      <c r="PU383">
        <v>0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</row>
    <row r="384" spans="2:467" x14ac:dyDescent="0.4">
      <c r="B384" t="str">
        <f>"9784101250267"</f>
        <v>9784101250267</v>
      </c>
      <c r="C384" t="s">
        <v>1783</v>
      </c>
      <c r="D384" t="s">
        <v>803</v>
      </c>
      <c r="E384" t="s">
        <v>1784</v>
      </c>
      <c r="G384" t="s">
        <v>516</v>
      </c>
      <c r="H384" t="str">
        <f>"0193"</f>
        <v>0193</v>
      </c>
      <c r="I384" t="s">
        <v>481</v>
      </c>
      <c r="J384" t="s">
        <v>487</v>
      </c>
      <c r="K384" t="s">
        <v>488</v>
      </c>
      <c r="L384" s="1">
        <v>40513</v>
      </c>
      <c r="M384">
        <v>1000</v>
      </c>
      <c r="N384" t="str">
        <f>"913.6"</f>
        <v>913.6</v>
      </c>
      <c r="P384">
        <v>10</v>
      </c>
      <c r="Q384">
        <v>10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1</v>
      </c>
      <c r="BM384">
        <v>1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1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1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1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1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1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1</v>
      </c>
      <c r="IU384">
        <v>0</v>
      </c>
      <c r="IV384">
        <v>1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0</v>
      </c>
      <c r="NL384">
        <v>0</v>
      </c>
      <c r="NM384">
        <v>0</v>
      </c>
      <c r="NN384">
        <v>0</v>
      </c>
      <c r="NO384">
        <v>0</v>
      </c>
      <c r="NP384">
        <v>0</v>
      </c>
      <c r="NQ384">
        <v>0</v>
      </c>
      <c r="NR384">
        <v>0</v>
      </c>
      <c r="NS384">
        <v>0</v>
      </c>
      <c r="NT384">
        <v>0</v>
      </c>
      <c r="NU384">
        <v>0</v>
      </c>
      <c r="NV384">
        <v>0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</v>
      </c>
      <c r="OH384">
        <v>0</v>
      </c>
      <c r="OI384">
        <v>0</v>
      </c>
      <c r="OJ384">
        <v>0</v>
      </c>
      <c r="OK384">
        <v>0</v>
      </c>
      <c r="OL384">
        <v>0</v>
      </c>
      <c r="OM384">
        <v>0</v>
      </c>
      <c r="ON384">
        <v>0</v>
      </c>
      <c r="OO384">
        <v>0</v>
      </c>
      <c r="OP384">
        <v>0</v>
      </c>
      <c r="OQ384">
        <v>0</v>
      </c>
      <c r="OR384">
        <v>0</v>
      </c>
      <c r="OS384">
        <v>0</v>
      </c>
      <c r="OT384">
        <v>0</v>
      </c>
      <c r="OU384">
        <v>0</v>
      </c>
      <c r="OV384">
        <v>0</v>
      </c>
      <c r="OW384">
        <v>0</v>
      </c>
      <c r="OX384">
        <v>0</v>
      </c>
      <c r="OY384">
        <v>0</v>
      </c>
      <c r="OZ384">
        <v>0</v>
      </c>
      <c r="PA384">
        <v>0</v>
      </c>
      <c r="PB384">
        <v>0</v>
      </c>
      <c r="PC384">
        <v>0</v>
      </c>
      <c r="PD384">
        <v>0</v>
      </c>
      <c r="PE384">
        <v>0</v>
      </c>
      <c r="PF384">
        <v>0</v>
      </c>
      <c r="PG384">
        <v>0</v>
      </c>
      <c r="PH384">
        <v>0</v>
      </c>
      <c r="PI384">
        <v>0</v>
      </c>
      <c r="PJ384">
        <v>0</v>
      </c>
      <c r="PK384">
        <v>0</v>
      </c>
      <c r="PL384">
        <v>0</v>
      </c>
      <c r="PM384">
        <v>0</v>
      </c>
      <c r="PN384">
        <v>0</v>
      </c>
      <c r="PO384">
        <v>0</v>
      </c>
      <c r="PP384">
        <v>0</v>
      </c>
      <c r="PQ384">
        <v>0</v>
      </c>
      <c r="PR384">
        <v>0</v>
      </c>
      <c r="PS384">
        <v>0</v>
      </c>
      <c r="PT384">
        <v>1</v>
      </c>
      <c r="PU384">
        <v>0</v>
      </c>
      <c r="PV384">
        <v>0</v>
      </c>
      <c r="PW384">
        <v>0</v>
      </c>
      <c r="PX384">
        <v>0</v>
      </c>
      <c r="PY384">
        <v>0</v>
      </c>
      <c r="PZ384">
        <v>0</v>
      </c>
      <c r="QA384">
        <v>0</v>
      </c>
      <c r="QB384">
        <v>0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</v>
      </c>
      <c r="QQ384">
        <v>0</v>
      </c>
      <c r="QR384">
        <v>0</v>
      </c>
      <c r="QS384">
        <v>0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0</v>
      </c>
    </row>
    <row r="385" spans="2:467" hidden="1" x14ac:dyDescent="0.4">
      <c r="B385" t="str">
        <f>"9784582860207"</f>
        <v>9784582860207</v>
      </c>
      <c r="C385" t="s">
        <v>1801</v>
      </c>
      <c r="D385" t="s">
        <v>1802</v>
      </c>
      <c r="E385">
        <v>1020</v>
      </c>
      <c r="G385" t="s">
        <v>669</v>
      </c>
      <c r="H385" t="str">
        <f>"0275"</f>
        <v>0275</v>
      </c>
      <c r="I385" t="s">
        <v>481</v>
      </c>
      <c r="J385" t="s">
        <v>482</v>
      </c>
      <c r="K385" t="s">
        <v>1635</v>
      </c>
      <c r="L385" s="1">
        <v>44940</v>
      </c>
      <c r="M385">
        <v>900</v>
      </c>
      <c r="N385" t="str">
        <f>"786.1"</f>
        <v>786.1</v>
      </c>
      <c r="P385">
        <v>10</v>
      </c>
      <c r="Q385">
        <v>10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1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1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1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1</v>
      </c>
      <c r="IE385">
        <v>0</v>
      </c>
      <c r="IF385">
        <v>1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1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1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1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>
        <v>1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0</v>
      </c>
      <c r="PL385">
        <v>0</v>
      </c>
      <c r="PM385">
        <v>0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0</v>
      </c>
      <c r="PT385">
        <v>0</v>
      </c>
      <c r="PU385">
        <v>0</v>
      </c>
      <c r="PV385">
        <v>0</v>
      </c>
      <c r="PW385">
        <v>0</v>
      </c>
      <c r="PX385">
        <v>0</v>
      </c>
      <c r="PY385">
        <v>0</v>
      </c>
      <c r="PZ385">
        <v>0</v>
      </c>
      <c r="QA385">
        <v>0</v>
      </c>
      <c r="QB385">
        <v>0</v>
      </c>
      <c r="QC385">
        <v>0</v>
      </c>
      <c r="QD385">
        <v>0</v>
      </c>
      <c r="QE385">
        <v>0</v>
      </c>
      <c r="QF385">
        <v>0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0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</row>
    <row r="386" spans="2:467" x14ac:dyDescent="0.4">
      <c r="B386" t="str">
        <f>"9784101001579"</f>
        <v>9784101001579</v>
      </c>
      <c r="C386" t="s">
        <v>1805</v>
      </c>
      <c r="D386" t="s">
        <v>1071</v>
      </c>
      <c r="E386" t="s">
        <v>1806</v>
      </c>
      <c r="G386" t="s">
        <v>516</v>
      </c>
      <c r="H386" t="str">
        <f>"0193"</f>
        <v>0193</v>
      </c>
      <c r="I386" t="s">
        <v>481</v>
      </c>
      <c r="J386" t="s">
        <v>487</v>
      </c>
      <c r="K386" t="s">
        <v>488</v>
      </c>
      <c r="L386" s="1">
        <v>40275</v>
      </c>
      <c r="M386">
        <v>800</v>
      </c>
      <c r="N386" t="str">
        <f>"913.6"</f>
        <v>913.6</v>
      </c>
      <c r="P386">
        <v>10</v>
      </c>
      <c r="Q386">
        <v>10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1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1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1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1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1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1</v>
      </c>
      <c r="JO386">
        <v>0</v>
      </c>
      <c r="JP386">
        <v>0</v>
      </c>
      <c r="JQ386">
        <v>1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1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0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0</v>
      </c>
      <c r="PB386">
        <v>0</v>
      </c>
      <c r="PC386">
        <v>0</v>
      </c>
      <c r="PD386">
        <v>0</v>
      </c>
      <c r="PE386">
        <v>0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0</v>
      </c>
      <c r="PL386">
        <v>0</v>
      </c>
      <c r="PM386">
        <v>0</v>
      </c>
      <c r="PN386">
        <v>0</v>
      </c>
      <c r="PO386">
        <v>0</v>
      </c>
      <c r="PP386">
        <v>0</v>
      </c>
      <c r="PQ386">
        <v>0</v>
      </c>
      <c r="PR386">
        <v>0</v>
      </c>
      <c r="PS386">
        <v>0</v>
      </c>
      <c r="PT386">
        <v>0</v>
      </c>
      <c r="PU386">
        <v>0</v>
      </c>
      <c r="PV386">
        <v>0</v>
      </c>
      <c r="PW386">
        <v>0</v>
      </c>
      <c r="PX386">
        <v>0</v>
      </c>
      <c r="PY386">
        <v>0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0</v>
      </c>
      <c r="QG386">
        <v>0</v>
      </c>
      <c r="QH386">
        <v>0</v>
      </c>
      <c r="QI386">
        <v>0</v>
      </c>
      <c r="QJ386">
        <v>0</v>
      </c>
      <c r="QK386">
        <v>0</v>
      </c>
      <c r="QL386">
        <v>0</v>
      </c>
      <c r="QM386">
        <v>0</v>
      </c>
      <c r="QN386">
        <v>0</v>
      </c>
      <c r="QO386">
        <v>0</v>
      </c>
      <c r="QP386">
        <v>0</v>
      </c>
      <c r="QQ386">
        <v>0</v>
      </c>
      <c r="QR386">
        <v>0</v>
      </c>
      <c r="QS386">
        <v>0</v>
      </c>
      <c r="QT386">
        <v>1</v>
      </c>
      <c r="QU386">
        <v>0</v>
      </c>
      <c r="QV386">
        <v>0</v>
      </c>
      <c r="QW386">
        <v>0</v>
      </c>
      <c r="QX386">
        <v>0</v>
      </c>
      <c r="QY386">
        <v>0</v>
      </c>
    </row>
    <row r="387" spans="2:467" hidden="1" x14ac:dyDescent="0.4">
      <c r="B387" t="str">
        <f>"9784315526530"</f>
        <v>9784315526530</v>
      </c>
      <c r="C387" t="s">
        <v>1821</v>
      </c>
      <c r="D387" t="s">
        <v>1822</v>
      </c>
      <c r="G387" t="s">
        <v>1199</v>
      </c>
      <c r="H387" t="str">
        <f>"0210"</f>
        <v>0210</v>
      </c>
      <c r="I387" t="s">
        <v>481</v>
      </c>
      <c r="J387" t="s">
        <v>482</v>
      </c>
      <c r="K387" t="s">
        <v>483</v>
      </c>
      <c r="L387" s="1">
        <v>44911</v>
      </c>
      <c r="M387">
        <v>1782</v>
      </c>
      <c r="N387" t="str">
        <f>"135.2"</f>
        <v>135.2</v>
      </c>
      <c r="P387">
        <v>10</v>
      </c>
      <c r="Q387">
        <v>10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1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1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1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1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1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1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1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1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0</v>
      </c>
      <c r="OU387">
        <v>0</v>
      </c>
      <c r="OV387">
        <v>0</v>
      </c>
      <c r="OW387">
        <v>0</v>
      </c>
      <c r="OX387">
        <v>0</v>
      </c>
      <c r="OY387">
        <v>0</v>
      </c>
      <c r="OZ387">
        <v>0</v>
      </c>
      <c r="PA387">
        <v>0</v>
      </c>
      <c r="PB387">
        <v>0</v>
      </c>
      <c r="PC387">
        <v>0</v>
      </c>
      <c r="PD387">
        <v>0</v>
      </c>
      <c r="PE387">
        <v>0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0</v>
      </c>
      <c r="PL387">
        <v>0</v>
      </c>
      <c r="PM387">
        <v>0</v>
      </c>
      <c r="PN387">
        <v>0</v>
      </c>
      <c r="PO387">
        <v>0</v>
      </c>
      <c r="PP387">
        <v>0</v>
      </c>
      <c r="PQ387">
        <v>0</v>
      </c>
      <c r="PR387">
        <v>0</v>
      </c>
      <c r="PS387">
        <v>0</v>
      </c>
      <c r="PT387">
        <v>0</v>
      </c>
      <c r="PU387">
        <v>0</v>
      </c>
      <c r="PV387">
        <v>0</v>
      </c>
      <c r="PW387">
        <v>0</v>
      </c>
      <c r="PX387">
        <v>0</v>
      </c>
      <c r="PY387">
        <v>0</v>
      </c>
      <c r="PZ387">
        <v>0</v>
      </c>
      <c r="QA387">
        <v>0</v>
      </c>
      <c r="QB387">
        <v>0</v>
      </c>
      <c r="QC387">
        <v>0</v>
      </c>
      <c r="QD387">
        <v>0</v>
      </c>
      <c r="QE387">
        <v>0</v>
      </c>
      <c r="QF387">
        <v>0</v>
      </c>
      <c r="QG387">
        <v>0</v>
      </c>
      <c r="QH387">
        <v>0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1</v>
      </c>
      <c r="QU387">
        <v>0</v>
      </c>
      <c r="QV387">
        <v>0</v>
      </c>
      <c r="QW387">
        <v>0</v>
      </c>
      <c r="QX387">
        <v>0</v>
      </c>
      <c r="QY387">
        <v>0</v>
      </c>
    </row>
    <row r="388" spans="2:467" x14ac:dyDescent="0.4">
      <c r="B388" t="str">
        <f>"9784044271015"</f>
        <v>9784044271015</v>
      </c>
      <c r="C388" t="s">
        <v>1825</v>
      </c>
      <c r="D388" t="s">
        <v>1063</v>
      </c>
      <c r="E388">
        <v>12196</v>
      </c>
      <c r="G388" t="s">
        <v>486</v>
      </c>
      <c r="H388" t="str">
        <f>"0193"</f>
        <v>0193</v>
      </c>
      <c r="I388" t="s">
        <v>481</v>
      </c>
      <c r="J388" t="s">
        <v>487</v>
      </c>
      <c r="K388" t="s">
        <v>488</v>
      </c>
      <c r="L388" s="1">
        <v>37196</v>
      </c>
      <c r="M388">
        <v>520</v>
      </c>
      <c r="N388" t="str">
        <f>"913.6"</f>
        <v>913.6</v>
      </c>
      <c r="P388">
        <v>10</v>
      </c>
      <c r="Q388">
        <v>10</v>
      </c>
      <c r="R388">
        <v>0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1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1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1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1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1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1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1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0</v>
      </c>
      <c r="PD388">
        <v>0</v>
      </c>
      <c r="PE388">
        <v>0</v>
      </c>
      <c r="PF388">
        <v>0</v>
      </c>
      <c r="PG388">
        <v>0</v>
      </c>
      <c r="PH388">
        <v>0</v>
      </c>
      <c r="PI388">
        <v>0</v>
      </c>
      <c r="PJ388">
        <v>0</v>
      </c>
      <c r="PK388">
        <v>0</v>
      </c>
      <c r="PL388">
        <v>0</v>
      </c>
      <c r="PM388">
        <v>0</v>
      </c>
      <c r="PN388">
        <v>0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1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</v>
      </c>
      <c r="QQ388">
        <v>0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</row>
    <row r="389" spans="2:467" x14ac:dyDescent="0.4">
      <c r="B389" t="str">
        <f>"9784102100189"</f>
        <v>9784102100189</v>
      </c>
      <c r="C389" t="s">
        <v>1836</v>
      </c>
      <c r="D389" t="s">
        <v>1837</v>
      </c>
      <c r="E389" t="s">
        <v>1838</v>
      </c>
      <c r="G389" t="s">
        <v>516</v>
      </c>
      <c r="H389" t="str">
        <f>"0197"</f>
        <v>0197</v>
      </c>
      <c r="I389" t="s">
        <v>481</v>
      </c>
      <c r="J389" t="s">
        <v>487</v>
      </c>
      <c r="K389" t="s">
        <v>564</v>
      </c>
      <c r="L389" s="1">
        <v>44006</v>
      </c>
      <c r="M389">
        <v>490</v>
      </c>
      <c r="N389" t="str">
        <f>"933"</f>
        <v>933</v>
      </c>
      <c r="P389">
        <v>10</v>
      </c>
      <c r="Q389">
        <v>10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1</v>
      </c>
      <c r="BJ389">
        <v>0</v>
      </c>
      <c r="BK389">
        <v>0</v>
      </c>
      <c r="BL389">
        <v>1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1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1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1</v>
      </c>
      <c r="KC389">
        <v>0</v>
      </c>
      <c r="KD389">
        <v>0</v>
      </c>
      <c r="KE389">
        <v>0</v>
      </c>
      <c r="KF389">
        <v>1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1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  <c r="NK389">
        <v>0</v>
      </c>
      <c r="NL389">
        <v>0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0</v>
      </c>
      <c r="OF389">
        <v>0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1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0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0</v>
      </c>
      <c r="PT389">
        <v>0</v>
      </c>
      <c r="PU389">
        <v>0</v>
      </c>
      <c r="PV389">
        <v>0</v>
      </c>
      <c r="PW389">
        <v>0</v>
      </c>
      <c r="PX389">
        <v>0</v>
      </c>
      <c r="PY389">
        <v>0</v>
      </c>
      <c r="PZ389">
        <v>1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</v>
      </c>
      <c r="QJ389">
        <v>0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0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0</v>
      </c>
    </row>
    <row r="390" spans="2:467" x14ac:dyDescent="0.4">
      <c r="B390" t="str">
        <f>"9784101006024"</f>
        <v>9784101006024</v>
      </c>
      <c r="C390" t="s">
        <v>1839</v>
      </c>
      <c r="D390" t="s">
        <v>1195</v>
      </c>
      <c r="E390" t="s">
        <v>1840</v>
      </c>
      <c r="G390" t="s">
        <v>516</v>
      </c>
      <c r="H390" t="str">
        <f>"0193"</f>
        <v>0193</v>
      </c>
      <c r="I390" t="s">
        <v>481</v>
      </c>
      <c r="J390" t="s">
        <v>487</v>
      </c>
      <c r="K390" t="s">
        <v>488</v>
      </c>
      <c r="L390" s="1">
        <v>37742</v>
      </c>
      <c r="M390">
        <v>340</v>
      </c>
      <c r="N390" t="str">
        <f>"913.6"</f>
        <v>913.6</v>
      </c>
      <c r="P390">
        <v>10</v>
      </c>
      <c r="Q390">
        <v>10</v>
      </c>
      <c r="R390">
        <v>0</v>
      </c>
      <c r="S390">
        <v>0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1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1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1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1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1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1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0</v>
      </c>
      <c r="MS390">
        <v>0</v>
      </c>
      <c r="MT390">
        <v>0</v>
      </c>
      <c r="MU390">
        <v>0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0</v>
      </c>
      <c r="NC390">
        <v>0</v>
      </c>
      <c r="ND390">
        <v>0</v>
      </c>
      <c r="NE390">
        <v>1</v>
      </c>
      <c r="NF390">
        <v>0</v>
      </c>
      <c r="NG390">
        <v>0</v>
      </c>
      <c r="NH390">
        <v>0</v>
      </c>
      <c r="NI390">
        <v>0</v>
      </c>
      <c r="NJ390">
        <v>0</v>
      </c>
      <c r="NK390">
        <v>0</v>
      </c>
      <c r="NL390">
        <v>0</v>
      </c>
      <c r="NM390">
        <v>0</v>
      </c>
      <c r="NN390">
        <v>0</v>
      </c>
      <c r="NO390">
        <v>0</v>
      </c>
      <c r="NP390">
        <v>0</v>
      </c>
      <c r="NQ390">
        <v>0</v>
      </c>
      <c r="NR390">
        <v>0</v>
      </c>
      <c r="NS390">
        <v>0</v>
      </c>
      <c r="NT390">
        <v>0</v>
      </c>
      <c r="NU390">
        <v>0</v>
      </c>
      <c r="NV390">
        <v>0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1</v>
      </c>
      <c r="OC390">
        <v>0</v>
      </c>
      <c r="OD390">
        <v>0</v>
      </c>
      <c r="OE390">
        <v>0</v>
      </c>
      <c r="OF390">
        <v>0</v>
      </c>
      <c r="OG390">
        <v>0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0</v>
      </c>
      <c r="OY390">
        <v>0</v>
      </c>
      <c r="OZ390">
        <v>0</v>
      </c>
      <c r="PA390">
        <v>0</v>
      </c>
      <c r="PB390">
        <v>0</v>
      </c>
      <c r="PC390">
        <v>0</v>
      </c>
      <c r="PD390">
        <v>0</v>
      </c>
      <c r="PE390">
        <v>0</v>
      </c>
      <c r="PF390">
        <v>0</v>
      </c>
      <c r="PG390">
        <v>0</v>
      </c>
      <c r="PH390">
        <v>0</v>
      </c>
      <c r="PI390">
        <v>0</v>
      </c>
      <c r="PJ390">
        <v>0</v>
      </c>
      <c r="PK390">
        <v>0</v>
      </c>
      <c r="PL390">
        <v>0</v>
      </c>
      <c r="PM390">
        <v>0</v>
      </c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</row>
    <row r="391" spans="2:467" hidden="1" x14ac:dyDescent="0.4">
      <c r="B391" t="str">
        <f>"9784299036360"</f>
        <v>9784299036360</v>
      </c>
      <c r="C391" t="s">
        <v>1846</v>
      </c>
      <c r="D391" t="s">
        <v>1847</v>
      </c>
      <c r="E391">
        <v>665</v>
      </c>
      <c r="G391" t="s">
        <v>1848</v>
      </c>
      <c r="H391" t="str">
        <f>"0233"</f>
        <v>0233</v>
      </c>
      <c r="I391" t="s">
        <v>481</v>
      </c>
      <c r="J391" t="s">
        <v>482</v>
      </c>
      <c r="K391" t="s">
        <v>537</v>
      </c>
      <c r="L391" s="1">
        <v>44904</v>
      </c>
      <c r="M391">
        <v>982</v>
      </c>
      <c r="N391" t="str">
        <f>"304"</f>
        <v>304</v>
      </c>
      <c r="P391">
        <v>10</v>
      </c>
      <c r="Q391">
        <v>10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1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1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1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1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1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1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1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0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0</v>
      </c>
      <c r="OI391">
        <v>0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1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0</v>
      </c>
      <c r="PT391">
        <v>0</v>
      </c>
      <c r="PU391">
        <v>0</v>
      </c>
      <c r="PV391">
        <v>0</v>
      </c>
      <c r="PW391">
        <v>0</v>
      </c>
      <c r="PX391">
        <v>0</v>
      </c>
      <c r="PY391">
        <v>0</v>
      </c>
      <c r="PZ391">
        <v>0</v>
      </c>
      <c r="QA391">
        <v>0</v>
      </c>
      <c r="QB391">
        <v>0</v>
      </c>
      <c r="QC391">
        <v>0</v>
      </c>
      <c r="QD391">
        <v>0</v>
      </c>
      <c r="QE391">
        <v>0</v>
      </c>
      <c r="QF391">
        <v>0</v>
      </c>
      <c r="QG391">
        <v>0</v>
      </c>
      <c r="QH391">
        <v>0</v>
      </c>
      <c r="QI391">
        <v>0</v>
      </c>
      <c r="QJ391">
        <v>0</v>
      </c>
      <c r="QK391">
        <v>1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0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0</v>
      </c>
      <c r="QY391">
        <v>0</v>
      </c>
    </row>
    <row r="392" spans="2:467" x14ac:dyDescent="0.4">
      <c r="B392" t="str">
        <f>"9784041033692"</f>
        <v>9784041033692</v>
      </c>
      <c r="C392" t="s">
        <v>1849</v>
      </c>
      <c r="D392" t="s">
        <v>801</v>
      </c>
      <c r="E392">
        <v>19317</v>
      </c>
      <c r="G392" t="s">
        <v>597</v>
      </c>
      <c r="H392" t="str">
        <f>"0193"</f>
        <v>0193</v>
      </c>
      <c r="I392" t="s">
        <v>481</v>
      </c>
      <c r="J392" t="s">
        <v>487</v>
      </c>
      <c r="K392" t="s">
        <v>488</v>
      </c>
      <c r="L392" s="1">
        <v>42241</v>
      </c>
      <c r="M392">
        <v>520</v>
      </c>
      <c r="N392" t="str">
        <f>"913.6"</f>
        <v>913.6</v>
      </c>
      <c r="P392">
        <v>10</v>
      </c>
      <c r="Q392">
        <v>10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1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1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1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1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1</v>
      </c>
      <c r="JN392">
        <v>0</v>
      </c>
      <c r="JO392">
        <v>0</v>
      </c>
      <c r="JP392">
        <v>1</v>
      </c>
      <c r="JQ392">
        <v>1</v>
      </c>
      <c r="JR392">
        <v>1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0</v>
      </c>
      <c r="NK392">
        <v>0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1</v>
      </c>
      <c r="NZ392">
        <v>0</v>
      </c>
      <c r="OA392">
        <v>0</v>
      </c>
      <c r="OB392">
        <v>0</v>
      </c>
      <c r="OC392">
        <v>0</v>
      </c>
      <c r="OD392">
        <v>0</v>
      </c>
      <c r="OE392">
        <v>0</v>
      </c>
      <c r="OF392">
        <v>0</v>
      </c>
      <c r="OG392">
        <v>1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  <c r="PB392">
        <v>0</v>
      </c>
      <c r="PC392">
        <v>0</v>
      </c>
      <c r="PD392">
        <v>0</v>
      </c>
      <c r="PE392">
        <v>0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0</v>
      </c>
      <c r="PL392">
        <v>0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0</v>
      </c>
      <c r="PT392">
        <v>0</v>
      </c>
      <c r="PU392">
        <v>0</v>
      </c>
      <c r="PV392">
        <v>0</v>
      </c>
      <c r="PW392">
        <v>0</v>
      </c>
      <c r="PX392">
        <v>0</v>
      </c>
      <c r="PY392">
        <v>0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0</v>
      </c>
      <c r="QI392">
        <v>0</v>
      </c>
      <c r="QJ392">
        <v>0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0</v>
      </c>
      <c r="QQ392">
        <v>0</v>
      </c>
      <c r="QR392">
        <v>0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</row>
    <row r="393" spans="2:467" hidden="1" x14ac:dyDescent="0.4">
      <c r="B393" t="str">
        <f>"9784004317951"</f>
        <v>9784004317951</v>
      </c>
      <c r="C393" t="s">
        <v>901</v>
      </c>
      <c r="D393" t="s">
        <v>902</v>
      </c>
      <c r="E393" t="s">
        <v>903</v>
      </c>
      <c r="G393" t="s">
        <v>521</v>
      </c>
      <c r="H393" t="str">
        <f>"0233"</f>
        <v>0233</v>
      </c>
      <c r="I393" t="s">
        <v>481</v>
      </c>
      <c r="J393" t="s">
        <v>482</v>
      </c>
      <c r="K393" t="s">
        <v>537</v>
      </c>
      <c r="L393" s="1">
        <v>43729</v>
      </c>
      <c r="M393">
        <v>860</v>
      </c>
      <c r="N393" t="str">
        <f>"331"</f>
        <v>331</v>
      </c>
      <c r="P393">
        <v>24</v>
      </c>
      <c r="Q393">
        <v>9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1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1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1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0</v>
      </c>
      <c r="MQ393">
        <v>0</v>
      </c>
      <c r="MR393">
        <v>0</v>
      </c>
      <c r="MS393">
        <v>0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0</v>
      </c>
      <c r="NA393">
        <v>0</v>
      </c>
      <c r="NB393">
        <v>0</v>
      </c>
      <c r="NC393">
        <v>0</v>
      </c>
      <c r="ND393">
        <v>0</v>
      </c>
      <c r="NE393">
        <v>0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0</v>
      </c>
      <c r="NL393">
        <v>0</v>
      </c>
      <c r="NM393">
        <v>0</v>
      </c>
      <c r="NN393">
        <v>0</v>
      </c>
      <c r="NO393">
        <v>0</v>
      </c>
      <c r="NP393">
        <v>0</v>
      </c>
      <c r="NQ393">
        <v>0</v>
      </c>
      <c r="NR393">
        <v>1</v>
      </c>
      <c r="NS393">
        <v>0</v>
      </c>
      <c r="NT393">
        <v>0</v>
      </c>
      <c r="NU393">
        <v>0</v>
      </c>
      <c r="NV393">
        <v>0</v>
      </c>
      <c r="NW393">
        <v>0</v>
      </c>
      <c r="NX393">
        <v>0</v>
      </c>
      <c r="NY393">
        <v>0</v>
      </c>
      <c r="NZ393">
        <v>0</v>
      </c>
      <c r="OA393">
        <v>0</v>
      </c>
      <c r="OB393">
        <v>0</v>
      </c>
      <c r="OC393">
        <v>0</v>
      </c>
      <c r="OD393">
        <v>0</v>
      </c>
      <c r="OE393">
        <v>0</v>
      </c>
      <c r="OF393">
        <v>0</v>
      </c>
      <c r="OG393">
        <v>0</v>
      </c>
      <c r="OH393">
        <v>0</v>
      </c>
      <c r="OI393">
        <v>0</v>
      </c>
      <c r="OJ393">
        <v>0</v>
      </c>
      <c r="OK393">
        <v>0</v>
      </c>
      <c r="OL393">
        <v>0</v>
      </c>
      <c r="OM393">
        <v>0</v>
      </c>
      <c r="ON393">
        <v>0</v>
      </c>
      <c r="OO393">
        <v>0</v>
      </c>
      <c r="OP393">
        <v>0</v>
      </c>
      <c r="OQ393">
        <v>0</v>
      </c>
      <c r="OR393">
        <v>0</v>
      </c>
      <c r="OS393">
        <v>1</v>
      </c>
      <c r="OT393">
        <v>0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1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0</v>
      </c>
      <c r="PL393">
        <v>0</v>
      </c>
      <c r="PM393">
        <v>0</v>
      </c>
      <c r="PN393">
        <v>0</v>
      </c>
      <c r="PO393">
        <v>0</v>
      </c>
      <c r="PP393">
        <v>0</v>
      </c>
      <c r="PQ393">
        <v>0</v>
      </c>
      <c r="PR393">
        <v>0</v>
      </c>
      <c r="PS393">
        <v>0</v>
      </c>
      <c r="PT393">
        <v>1</v>
      </c>
      <c r="PU393">
        <v>0</v>
      </c>
      <c r="PV393">
        <v>2</v>
      </c>
      <c r="PW393">
        <v>0</v>
      </c>
      <c r="PX393">
        <v>0</v>
      </c>
      <c r="PY393">
        <v>0</v>
      </c>
      <c r="PZ393">
        <v>0</v>
      </c>
      <c r="QA393">
        <v>0</v>
      </c>
      <c r="QB393">
        <v>0</v>
      </c>
      <c r="QC393">
        <v>0</v>
      </c>
      <c r="QD393">
        <v>0</v>
      </c>
      <c r="QE393">
        <v>0</v>
      </c>
      <c r="QF393">
        <v>0</v>
      </c>
      <c r="QG393">
        <v>15</v>
      </c>
      <c r="QH393">
        <v>0</v>
      </c>
      <c r="QI393">
        <v>0</v>
      </c>
      <c r="QJ393">
        <v>0</v>
      </c>
      <c r="QK393">
        <v>0</v>
      </c>
      <c r="QL393">
        <v>0</v>
      </c>
      <c r="QM393">
        <v>0</v>
      </c>
      <c r="QN393">
        <v>0</v>
      </c>
      <c r="QO393">
        <v>0</v>
      </c>
      <c r="QP393">
        <v>0</v>
      </c>
      <c r="QQ393">
        <v>0</v>
      </c>
      <c r="QR393">
        <v>0</v>
      </c>
      <c r="QS393">
        <v>0</v>
      </c>
      <c r="QT393">
        <v>0</v>
      </c>
      <c r="QU393">
        <v>0</v>
      </c>
      <c r="QV393">
        <v>0</v>
      </c>
      <c r="QW393">
        <v>0</v>
      </c>
      <c r="QX393">
        <v>0</v>
      </c>
      <c r="QY393">
        <v>0</v>
      </c>
    </row>
    <row r="394" spans="2:467" hidden="1" x14ac:dyDescent="0.4">
      <c r="B394" t="str">
        <f>"9784121026668"</f>
        <v>9784121026668</v>
      </c>
      <c r="C394" t="s">
        <v>1168</v>
      </c>
      <c r="D394" t="s">
        <v>1169</v>
      </c>
      <c r="E394">
        <v>2666</v>
      </c>
      <c r="G394" t="s">
        <v>540</v>
      </c>
      <c r="H394" t="str">
        <f>"1222"</f>
        <v>1222</v>
      </c>
      <c r="I394" t="s">
        <v>541</v>
      </c>
      <c r="J394" t="s">
        <v>482</v>
      </c>
      <c r="K394" t="s">
        <v>579</v>
      </c>
      <c r="L394" s="1">
        <v>44487</v>
      </c>
      <c r="M394">
        <v>960</v>
      </c>
      <c r="N394" t="str">
        <f>"234"</f>
        <v>234</v>
      </c>
      <c r="P394">
        <v>16</v>
      </c>
      <c r="Q394">
        <v>9</v>
      </c>
      <c r="R394">
        <v>0</v>
      </c>
      <c r="S394">
        <v>1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3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2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2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2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1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1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1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3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0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0</v>
      </c>
      <c r="PD394">
        <v>0</v>
      </c>
      <c r="PE394">
        <v>0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0</v>
      </c>
      <c r="PL394">
        <v>0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0</v>
      </c>
      <c r="PT394">
        <v>0</v>
      </c>
      <c r="PU394">
        <v>0</v>
      </c>
      <c r="PV394">
        <v>0</v>
      </c>
      <c r="PW394">
        <v>0</v>
      </c>
      <c r="PX394">
        <v>0</v>
      </c>
      <c r="PY394">
        <v>0</v>
      </c>
      <c r="PZ394">
        <v>0</v>
      </c>
      <c r="QA394">
        <v>0</v>
      </c>
      <c r="QB394">
        <v>0</v>
      </c>
      <c r="QC394">
        <v>0</v>
      </c>
      <c r="QD394">
        <v>0</v>
      </c>
      <c r="QE394">
        <v>0</v>
      </c>
      <c r="QF394">
        <v>0</v>
      </c>
      <c r="QG394">
        <v>0</v>
      </c>
      <c r="QH394">
        <v>0</v>
      </c>
      <c r="QI394">
        <v>0</v>
      </c>
      <c r="QJ394">
        <v>0</v>
      </c>
      <c r="QK394">
        <v>0</v>
      </c>
      <c r="QL394">
        <v>0</v>
      </c>
      <c r="QM394">
        <v>0</v>
      </c>
      <c r="QN394">
        <v>0</v>
      </c>
      <c r="QO394">
        <v>0</v>
      </c>
      <c r="QP394">
        <v>0</v>
      </c>
      <c r="QQ394">
        <v>0</v>
      </c>
      <c r="QR394">
        <v>0</v>
      </c>
      <c r="QS394">
        <v>0</v>
      </c>
      <c r="QT394">
        <v>0</v>
      </c>
      <c r="QU394">
        <v>0</v>
      </c>
      <c r="QV394">
        <v>0</v>
      </c>
      <c r="QW394">
        <v>0</v>
      </c>
      <c r="QX394">
        <v>0</v>
      </c>
      <c r="QY394">
        <v>0</v>
      </c>
    </row>
    <row r="395" spans="2:467" hidden="1" x14ac:dyDescent="0.4">
      <c r="B395" t="str">
        <f>"9784121026866"</f>
        <v>9784121026866</v>
      </c>
      <c r="C395" t="s">
        <v>1170</v>
      </c>
      <c r="D395" t="s">
        <v>1171</v>
      </c>
      <c r="E395">
        <v>2686</v>
      </c>
      <c r="G395" t="s">
        <v>540</v>
      </c>
      <c r="H395" t="str">
        <f>"1210"</f>
        <v>1210</v>
      </c>
      <c r="I395" t="s">
        <v>541</v>
      </c>
      <c r="J395" t="s">
        <v>482</v>
      </c>
      <c r="K395" t="s">
        <v>483</v>
      </c>
      <c r="L395" s="1">
        <v>44610</v>
      </c>
      <c r="M395">
        <v>1050</v>
      </c>
      <c r="N395" t="str">
        <f>"122.02"</f>
        <v>122.02</v>
      </c>
      <c r="P395">
        <v>16</v>
      </c>
      <c r="Q395">
        <v>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5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2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1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1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2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1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2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0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1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0</v>
      </c>
      <c r="PN395">
        <v>0</v>
      </c>
      <c r="PO395">
        <v>0</v>
      </c>
      <c r="PP395">
        <v>0</v>
      </c>
      <c r="PQ395">
        <v>0</v>
      </c>
      <c r="PR395">
        <v>0</v>
      </c>
      <c r="PS395">
        <v>0</v>
      </c>
      <c r="PT395">
        <v>0</v>
      </c>
      <c r="PU395">
        <v>0</v>
      </c>
      <c r="PV395">
        <v>0</v>
      </c>
      <c r="PW395">
        <v>0</v>
      </c>
      <c r="PX395">
        <v>0</v>
      </c>
      <c r="PY395">
        <v>0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</v>
      </c>
      <c r="QG395">
        <v>0</v>
      </c>
      <c r="QH395">
        <v>0</v>
      </c>
      <c r="QI395">
        <v>0</v>
      </c>
      <c r="QJ395">
        <v>0</v>
      </c>
      <c r="QK395">
        <v>1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0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</row>
    <row r="396" spans="2:467" x14ac:dyDescent="0.4">
      <c r="B396" t="str">
        <f>"9784480081568"</f>
        <v>9784480081568</v>
      </c>
      <c r="C396" t="s">
        <v>1229</v>
      </c>
      <c r="D396" t="s">
        <v>1230</v>
      </c>
      <c r="E396" t="s">
        <v>1231</v>
      </c>
      <c r="G396" t="s">
        <v>501</v>
      </c>
      <c r="H396" t="str">
        <f>"0131"</f>
        <v>0131</v>
      </c>
      <c r="I396" t="s">
        <v>481</v>
      </c>
      <c r="J396" t="s">
        <v>487</v>
      </c>
      <c r="K396" t="s">
        <v>502</v>
      </c>
      <c r="L396" s="1">
        <v>34608</v>
      </c>
      <c r="M396">
        <v>1500</v>
      </c>
      <c r="N396" t="str">
        <f>"311.1"</f>
        <v>311.1</v>
      </c>
      <c r="P396">
        <v>15</v>
      </c>
      <c r="Q396">
        <v>9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2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2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4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1</v>
      </c>
      <c r="JN396">
        <v>0</v>
      </c>
      <c r="JO396">
        <v>0</v>
      </c>
      <c r="JP396">
        <v>0</v>
      </c>
      <c r="JQ396">
        <v>2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0</v>
      </c>
      <c r="MT396">
        <v>0</v>
      </c>
      <c r="MU396">
        <v>0</v>
      </c>
      <c r="MV396">
        <v>0</v>
      </c>
      <c r="MW396">
        <v>0</v>
      </c>
      <c r="MX396">
        <v>0</v>
      </c>
      <c r="MY396">
        <v>0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1</v>
      </c>
      <c r="NF396">
        <v>0</v>
      </c>
      <c r="NG396">
        <v>0</v>
      </c>
      <c r="NH396">
        <v>0</v>
      </c>
      <c r="NI396">
        <v>0</v>
      </c>
      <c r="NJ396">
        <v>0</v>
      </c>
      <c r="NK396">
        <v>0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0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0</v>
      </c>
      <c r="NZ396">
        <v>0</v>
      </c>
      <c r="OA396">
        <v>0</v>
      </c>
      <c r="OB396">
        <v>0</v>
      </c>
      <c r="OC396">
        <v>0</v>
      </c>
      <c r="OD396">
        <v>0</v>
      </c>
      <c r="OE396">
        <v>0</v>
      </c>
      <c r="OF396">
        <v>0</v>
      </c>
      <c r="OG396">
        <v>0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1</v>
      </c>
      <c r="PL396">
        <v>0</v>
      </c>
      <c r="PM396">
        <v>0</v>
      </c>
      <c r="PN396">
        <v>0</v>
      </c>
      <c r="PO396">
        <v>0</v>
      </c>
      <c r="PP396">
        <v>0</v>
      </c>
      <c r="PQ396">
        <v>0</v>
      </c>
      <c r="PR396">
        <v>0</v>
      </c>
      <c r="PS396">
        <v>0</v>
      </c>
      <c r="PT396">
        <v>0</v>
      </c>
      <c r="PU396">
        <v>0</v>
      </c>
      <c r="PV396">
        <v>0</v>
      </c>
      <c r="PW396">
        <v>0</v>
      </c>
      <c r="PX396">
        <v>0</v>
      </c>
      <c r="PY396">
        <v>0</v>
      </c>
      <c r="PZ396">
        <v>0</v>
      </c>
      <c r="QA396">
        <v>0</v>
      </c>
      <c r="QB396">
        <v>0</v>
      </c>
      <c r="QC396">
        <v>0</v>
      </c>
      <c r="QD396">
        <v>0</v>
      </c>
      <c r="QE396">
        <v>0</v>
      </c>
      <c r="QF396">
        <v>0</v>
      </c>
      <c r="QG396">
        <v>0</v>
      </c>
      <c r="QH396">
        <v>0</v>
      </c>
      <c r="QI396">
        <v>0</v>
      </c>
      <c r="QJ396">
        <v>0</v>
      </c>
      <c r="QK396">
        <v>1</v>
      </c>
      <c r="QL396">
        <v>0</v>
      </c>
      <c r="QM396">
        <v>0</v>
      </c>
      <c r="QN396">
        <v>0</v>
      </c>
      <c r="QO396">
        <v>0</v>
      </c>
      <c r="QP396">
        <v>0</v>
      </c>
      <c r="QQ396">
        <v>0</v>
      </c>
      <c r="QR396">
        <v>0</v>
      </c>
      <c r="QS396">
        <v>0</v>
      </c>
      <c r="QT396">
        <v>0</v>
      </c>
      <c r="QU396">
        <v>0</v>
      </c>
      <c r="QV396">
        <v>0</v>
      </c>
      <c r="QW396">
        <v>0</v>
      </c>
      <c r="QX396">
        <v>0</v>
      </c>
      <c r="QY396">
        <v>0</v>
      </c>
    </row>
    <row r="397" spans="2:467" hidden="1" x14ac:dyDescent="0.4">
      <c r="B397" t="str">
        <f>"9784065135020"</f>
        <v>9784065135020</v>
      </c>
      <c r="C397" t="s">
        <v>1265</v>
      </c>
      <c r="D397" t="s">
        <v>1266</v>
      </c>
      <c r="E397">
        <v>2498</v>
      </c>
      <c r="G397" t="s">
        <v>548</v>
      </c>
      <c r="H397" t="str">
        <f>"0200"</f>
        <v>0200</v>
      </c>
      <c r="I397" t="s">
        <v>481</v>
      </c>
      <c r="J397" t="s">
        <v>482</v>
      </c>
      <c r="K397" t="s">
        <v>549</v>
      </c>
      <c r="L397" s="1">
        <v>43390</v>
      </c>
      <c r="M397">
        <v>800</v>
      </c>
      <c r="N397" t="str">
        <f>"816.5"</f>
        <v>816.5</v>
      </c>
      <c r="P397">
        <v>15</v>
      </c>
      <c r="Q397">
        <v>9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1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7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1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1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1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1</v>
      </c>
      <c r="KC397">
        <v>0</v>
      </c>
      <c r="KD397">
        <v>0</v>
      </c>
      <c r="KE397">
        <v>0</v>
      </c>
      <c r="KF397">
        <v>1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1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1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0</v>
      </c>
      <c r="NL397">
        <v>0</v>
      </c>
      <c r="NM397">
        <v>0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0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0</v>
      </c>
      <c r="PB397">
        <v>0</v>
      </c>
      <c r="PC397">
        <v>0</v>
      </c>
      <c r="PD397">
        <v>0</v>
      </c>
      <c r="PE397">
        <v>0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0</v>
      </c>
      <c r="PL397">
        <v>0</v>
      </c>
      <c r="PM397">
        <v>0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0</v>
      </c>
      <c r="PT397">
        <v>0</v>
      </c>
      <c r="PU397">
        <v>0</v>
      </c>
      <c r="PV397">
        <v>0</v>
      </c>
      <c r="PW397">
        <v>0</v>
      </c>
      <c r="PX397">
        <v>0</v>
      </c>
      <c r="PY397">
        <v>0</v>
      </c>
      <c r="PZ397">
        <v>0</v>
      </c>
      <c r="QA397">
        <v>0</v>
      </c>
      <c r="QB397">
        <v>0</v>
      </c>
      <c r="QC397">
        <v>0</v>
      </c>
      <c r="QD397">
        <v>0</v>
      </c>
      <c r="QE397">
        <v>0</v>
      </c>
      <c r="QF397">
        <v>0</v>
      </c>
      <c r="QG397">
        <v>0</v>
      </c>
      <c r="QH397">
        <v>0</v>
      </c>
      <c r="QI397">
        <v>0</v>
      </c>
      <c r="QJ397">
        <v>0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0</v>
      </c>
      <c r="QS397">
        <v>0</v>
      </c>
      <c r="QT397">
        <v>0</v>
      </c>
      <c r="QU397">
        <v>0</v>
      </c>
      <c r="QV397">
        <v>0</v>
      </c>
      <c r="QW397">
        <v>0</v>
      </c>
      <c r="QX397">
        <v>0</v>
      </c>
      <c r="QY397">
        <v>0</v>
      </c>
    </row>
    <row r="398" spans="2:467" x14ac:dyDescent="0.4">
      <c r="B398" t="str">
        <f>"9784041366042"</f>
        <v>9784041366042</v>
      </c>
      <c r="C398" t="s">
        <v>1319</v>
      </c>
      <c r="D398" t="s">
        <v>1131</v>
      </c>
      <c r="E398">
        <v>3750</v>
      </c>
      <c r="G398" t="s">
        <v>597</v>
      </c>
      <c r="H398" t="str">
        <f>"0193"</f>
        <v>0193</v>
      </c>
      <c r="I398" t="s">
        <v>481</v>
      </c>
      <c r="J398" t="s">
        <v>487</v>
      </c>
      <c r="K398" t="s">
        <v>488</v>
      </c>
      <c r="L398" s="1">
        <v>30437</v>
      </c>
      <c r="M398">
        <v>640</v>
      </c>
      <c r="N398" t="str">
        <f>"913.6"</f>
        <v>913.6</v>
      </c>
      <c r="P398">
        <v>14</v>
      </c>
      <c r="Q398">
        <v>9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3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1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2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1</v>
      </c>
      <c r="CR398">
        <v>0</v>
      </c>
      <c r="CS398">
        <v>1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1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3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1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0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0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0</v>
      </c>
      <c r="PB398">
        <v>0</v>
      </c>
      <c r="PC398">
        <v>0</v>
      </c>
      <c r="PD398">
        <v>0</v>
      </c>
      <c r="PE398">
        <v>0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0</v>
      </c>
      <c r="PL398">
        <v>0</v>
      </c>
      <c r="PM398">
        <v>1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0</v>
      </c>
      <c r="PT398">
        <v>0</v>
      </c>
      <c r="PU398">
        <v>0</v>
      </c>
      <c r="PV398">
        <v>0</v>
      </c>
      <c r="PW398">
        <v>0</v>
      </c>
      <c r="PX398">
        <v>0</v>
      </c>
      <c r="PY398">
        <v>0</v>
      </c>
      <c r="PZ398">
        <v>0</v>
      </c>
      <c r="QA398">
        <v>0</v>
      </c>
      <c r="QB398">
        <v>0</v>
      </c>
      <c r="QC398">
        <v>0</v>
      </c>
      <c r="QD398">
        <v>0</v>
      </c>
      <c r="QE398">
        <v>0</v>
      </c>
      <c r="QF398">
        <v>0</v>
      </c>
      <c r="QG398">
        <v>0</v>
      </c>
      <c r="QH398">
        <v>0</v>
      </c>
      <c r="QI398">
        <v>0</v>
      </c>
      <c r="QJ398">
        <v>0</v>
      </c>
      <c r="QK398">
        <v>0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0</v>
      </c>
      <c r="QS398">
        <v>0</v>
      </c>
      <c r="QT398">
        <v>0</v>
      </c>
      <c r="QU398">
        <v>0</v>
      </c>
      <c r="QV398">
        <v>0</v>
      </c>
      <c r="QW398">
        <v>0</v>
      </c>
      <c r="QX398">
        <v>0</v>
      </c>
      <c r="QY398">
        <v>0</v>
      </c>
    </row>
    <row r="399" spans="2:467" x14ac:dyDescent="0.4">
      <c r="B399" t="str">
        <f>"9784150504106"</f>
        <v>9784150504106</v>
      </c>
      <c r="C399" t="s">
        <v>1428</v>
      </c>
      <c r="D399" t="s">
        <v>1429</v>
      </c>
      <c r="E399" t="s">
        <v>1430</v>
      </c>
      <c r="G399" t="s">
        <v>963</v>
      </c>
      <c r="H399" t="str">
        <f>"0111"</f>
        <v>0111</v>
      </c>
      <c r="I399" t="s">
        <v>481</v>
      </c>
      <c r="J399" t="s">
        <v>487</v>
      </c>
      <c r="K399" t="s">
        <v>610</v>
      </c>
      <c r="L399" s="1">
        <v>41811</v>
      </c>
      <c r="M399">
        <v>840</v>
      </c>
      <c r="N399" t="str">
        <f>"141.8"</f>
        <v>141.8</v>
      </c>
      <c r="P399">
        <v>13</v>
      </c>
      <c r="Q399">
        <v>9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4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1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1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1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2</v>
      </c>
      <c r="IX399">
        <v>0</v>
      </c>
      <c r="IY399">
        <v>1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1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  <c r="NK399">
        <v>0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0</v>
      </c>
      <c r="NU399">
        <v>0</v>
      </c>
      <c r="NV399">
        <v>0</v>
      </c>
      <c r="NW399">
        <v>0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0</v>
      </c>
      <c r="OI399">
        <v>0</v>
      </c>
      <c r="OJ399">
        <v>0</v>
      </c>
      <c r="OK399">
        <v>0</v>
      </c>
      <c r="OL399">
        <v>0</v>
      </c>
      <c r="OM399">
        <v>0</v>
      </c>
      <c r="ON399">
        <v>0</v>
      </c>
      <c r="OO399">
        <v>0</v>
      </c>
      <c r="OP399">
        <v>0</v>
      </c>
      <c r="OQ399">
        <v>0</v>
      </c>
      <c r="OR399">
        <v>0</v>
      </c>
      <c r="OS399">
        <v>1</v>
      </c>
      <c r="OT399">
        <v>0</v>
      </c>
      <c r="OU399">
        <v>0</v>
      </c>
      <c r="OV399">
        <v>0</v>
      </c>
      <c r="OW399">
        <v>0</v>
      </c>
      <c r="OX399">
        <v>0</v>
      </c>
      <c r="OY399">
        <v>0</v>
      </c>
      <c r="OZ399">
        <v>0</v>
      </c>
      <c r="PA399">
        <v>0</v>
      </c>
      <c r="PB399">
        <v>0</v>
      </c>
      <c r="PC399">
        <v>0</v>
      </c>
      <c r="PD399">
        <v>0</v>
      </c>
      <c r="PE399">
        <v>0</v>
      </c>
      <c r="PF399">
        <v>0</v>
      </c>
      <c r="PG399">
        <v>0</v>
      </c>
      <c r="PH399">
        <v>0</v>
      </c>
      <c r="PI399">
        <v>0</v>
      </c>
      <c r="PJ399">
        <v>0</v>
      </c>
      <c r="PK399">
        <v>0</v>
      </c>
      <c r="PL399">
        <v>0</v>
      </c>
      <c r="PM399">
        <v>1</v>
      </c>
      <c r="PN399">
        <v>0</v>
      </c>
      <c r="PO399">
        <v>0</v>
      </c>
      <c r="PP399">
        <v>0</v>
      </c>
      <c r="PQ399">
        <v>0</v>
      </c>
      <c r="PR399">
        <v>0</v>
      </c>
      <c r="PS399">
        <v>0</v>
      </c>
      <c r="PT399">
        <v>0</v>
      </c>
      <c r="PU399">
        <v>0</v>
      </c>
      <c r="PV399">
        <v>0</v>
      </c>
      <c r="PW399">
        <v>0</v>
      </c>
      <c r="PX399">
        <v>0</v>
      </c>
      <c r="PY399">
        <v>0</v>
      </c>
      <c r="PZ399">
        <v>0</v>
      </c>
      <c r="QA399">
        <v>0</v>
      </c>
      <c r="QB399">
        <v>0</v>
      </c>
      <c r="QC399">
        <v>0</v>
      </c>
      <c r="QD399">
        <v>0</v>
      </c>
      <c r="QE399">
        <v>0</v>
      </c>
      <c r="QF399">
        <v>0</v>
      </c>
      <c r="QG399">
        <v>0</v>
      </c>
      <c r="QH399">
        <v>0</v>
      </c>
      <c r="QI399">
        <v>0</v>
      </c>
      <c r="QJ399">
        <v>0</v>
      </c>
      <c r="QK399">
        <v>0</v>
      </c>
      <c r="QL399">
        <v>0</v>
      </c>
      <c r="QM399">
        <v>0</v>
      </c>
      <c r="QN399">
        <v>0</v>
      </c>
      <c r="QO399">
        <v>0</v>
      </c>
      <c r="QP399">
        <v>0</v>
      </c>
      <c r="QQ399">
        <v>0</v>
      </c>
      <c r="QR399">
        <v>0</v>
      </c>
      <c r="QS399">
        <v>0</v>
      </c>
      <c r="QT399">
        <v>0</v>
      </c>
      <c r="QU399">
        <v>0</v>
      </c>
      <c r="QV399">
        <v>0</v>
      </c>
      <c r="QW399">
        <v>0</v>
      </c>
      <c r="QX399">
        <v>0</v>
      </c>
      <c r="QY399">
        <v>0</v>
      </c>
    </row>
    <row r="400" spans="2:467" x14ac:dyDescent="0.4">
      <c r="B400" t="str">
        <f>"9784480511249"</f>
        <v>9784480511249</v>
      </c>
      <c r="C400" t="s">
        <v>1438</v>
      </c>
      <c r="D400" t="s">
        <v>1439</v>
      </c>
      <c r="E400" t="s">
        <v>1440</v>
      </c>
      <c r="G400" t="s">
        <v>501</v>
      </c>
      <c r="H400" t="str">
        <f>"0110"</f>
        <v>0110</v>
      </c>
      <c r="I400" t="s">
        <v>481</v>
      </c>
      <c r="J400" t="s">
        <v>487</v>
      </c>
      <c r="K400" t="s">
        <v>483</v>
      </c>
      <c r="L400" s="1">
        <v>44725</v>
      </c>
      <c r="M400">
        <v>1400</v>
      </c>
      <c r="N400" t="str">
        <f>"134.9"</f>
        <v>134.9</v>
      </c>
      <c r="P400">
        <v>12</v>
      </c>
      <c r="Q400">
        <v>9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1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1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1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4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1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1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1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</v>
      </c>
      <c r="OV400">
        <v>0</v>
      </c>
      <c r="OW400">
        <v>0</v>
      </c>
      <c r="OX400">
        <v>0</v>
      </c>
      <c r="OY400">
        <v>0</v>
      </c>
      <c r="OZ400">
        <v>1</v>
      </c>
      <c r="PA400">
        <v>0</v>
      </c>
      <c r="PB400">
        <v>0</v>
      </c>
      <c r="PC400">
        <v>0</v>
      </c>
      <c r="PD400">
        <v>0</v>
      </c>
      <c r="PE400">
        <v>0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0</v>
      </c>
      <c r="PL400">
        <v>0</v>
      </c>
      <c r="PM400">
        <v>1</v>
      </c>
      <c r="PN400">
        <v>0</v>
      </c>
      <c r="PO400">
        <v>0</v>
      </c>
      <c r="PP400">
        <v>0</v>
      </c>
      <c r="PQ400">
        <v>0</v>
      </c>
      <c r="PR400">
        <v>0</v>
      </c>
      <c r="PS400">
        <v>0</v>
      </c>
      <c r="PT400">
        <v>0</v>
      </c>
      <c r="PU400">
        <v>0</v>
      </c>
      <c r="PV400">
        <v>0</v>
      </c>
      <c r="PW400">
        <v>0</v>
      </c>
      <c r="PX400">
        <v>0</v>
      </c>
      <c r="PY400">
        <v>0</v>
      </c>
      <c r="PZ400">
        <v>0</v>
      </c>
      <c r="QA400">
        <v>0</v>
      </c>
      <c r="QB400">
        <v>0</v>
      </c>
      <c r="QC400">
        <v>0</v>
      </c>
      <c r="QD400">
        <v>0</v>
      </c>
      <c r="QE400">
        <v>0</v>
      </c>
      <c r="QF400">
        <v>0</v>
      </c>
      <c r="QG400">
        <v>0</v>
      </c>
      <c r="QH400">
        <v>0</v>
      </c>
      <c r="QI400">
        <v>0</v>
      </c>
      <c r="QJ400">
        <v>0</v>
      </c>
      <c r="QK400">
        <v>0</v>
      </c>
      <c r="QL400">
        <v>0</v>
      </c>
      <c r="QM400">
        <v>0</v>
      </c>
      <c r="QN400">
        <v>0</v>
      </c>
      <c r="QO400">
        <v>0</v>
      </c>
      <c r="QP400">
        <v>0</v>
      </c>
      <c r="QQ400">
        <v>0</v>
      </c>
      <c r="QR400">
        <v>0</v>
      </c>
      <c r="QS400">
        <v>0</v>
      </c>
      <c r="QT400">
        <v>0</v>
      </c>
      <c r="QU400">
        <v>0</v>
      </c>
      <c r="QV400">
        <v>0</v>
      </c>
      <c r="QW400">
        <v>0</v>
      </c>
      <c r="QX400">
        <v>0</v>
      </c>
      <c r="QY400">
        <v>0</v>
      </c>
    </row>
    <row r="401" spans="2:467" x14ac:dyDescent="0.4">
      <c r="B401" t="str">
        <f>"9784151310805"</f>
        <v>9784151310805</v>
      </c>
      <c r="C401" t="s">
        <v>1456</v>
      </c>
      <c r="D401" t="s">
        <v>1457</v>
      </c>
      <c r="G401" t="s">
        <v>963</v>
      </c>
      <c r="H401" t="str">
        <f>"0197"</f>
        <v>0197</v>
      </c>
      <c r="I401" t="s">
        <v>481</v>
      </c>
      <c r="J401" t="s">
        <v>487</v>
      </c>
      <c r="K401" t="s">
        <v>564</v>
      </c>
      <c r="L401" s="1">
        <v>40493</v>
      </c>
      <c r="M401">
        <v>940</v>
      </c>
      <c r="N401" t="str">
        <f>"933"</f>
        <v>933</v>
      </c>
      <c r="P401">
        <v>12</v>
      </c>
      <c r="Q401">
        <v>9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2</v>
      </c>
      <c r="BN401">
        <v>1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2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1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1</v>
      </c>
      <c r="JG401">
        <v>2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1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1</v>
      </c>
      <c r="LS401">
        <v>0</v>
      </c>
      <c r="LT401">
        <v>0</v>
      </c>
      <c r="LU401">
        <v>0</v>
      </c>
      <c r="LV401">
        <v>0</v>
      </c>
      <c r="LW401">
        <v>1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0</v>
      </c>
      <c r="NL401">
        <v>0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0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0</v>
      </c>
      <c r="OM401">
        <v>0</v>
      </c>
      <c r="ON401">
        <v>0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0</v>
      </c>
      <c r="OY401">
        <v>0</v>
      </c>
      <c r="OZ401">
        <v>0</v>
      </c>
      <c r="PA401">
        <v>0</v>
      </c>
      <c r="PB401">
        <v>0</v>
      </c>
      <c r="PC401">
        <v>0</v>
      </c>
      <c r="PD401">
        <v>0</v>
      </c>
      <c r="PE401">
        <v>0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0</v>
      </c>
      <c r="PL401">
        <v>0</v>
      </c>
      <c r="PM401">
        <v>0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0</v>
      </c>
      <c r="PT401">
        <v>0</v>
      </c>
      <c r="PU401">
        <v>0</v>
      </c>
      <c r="PV401">
        <v>0</v>
      </c>
      <c r="PW401">
        <v>0</v>
      </c>
      <c r="PX401">
        <v>0</v>
      </c>
      <c r="PY401">
        <v>0</v>
      </c>
      <c r="PZ401">
        <v>0</v>
      </c>
      <c r="QA401">
        <v>0</v>
      </c>
      <c r="QB401">
        <v>0</v>
      </c>
      <c r="QC401">
        <v>0</v>
      </c>
      <c r="QD401">
        <v>0</v>
      </c>
      <c r="QE401">
        <v>0</v>
      </c>
      <c r="QF401">
        <v>0</v>
      </c>
      <c r="QG401">
        <v>0</v>
      </c>
      <c r="QH401">
        <v>0</v>
      </c>
      <c r="QI401">
        <v>0</v>
      </c>
      <c r="QJ401">
        <v>0</v>
      </c>
      <c r="QK401">
        <v>0</v>
      </c>
      <c r="QL401">
        <v>0</v>
      </c>
      <c r="QM401">
        <v>0</v>
      </c>
      <c r="QN401">
        <v>0</v>
      </c>
      <c r="QO401">
        <v>0</v>
      </c>
      <c r="QP401">
        <v>0</v>
      </c>
      <c r="QQ401">
        <v>0</v>
      </c>
      <c r="QR401">
        <v>0</v>
      </c>
      <c r="QS401">
        <v>0</v>
      </c>
      <c r="QT401">
        <v>0</v>
      </c>
      <c r="QU401">
        <v>0</v>
      </c>
      <c r="QV401">
        <v>0</v>
      </c>
      <c r="QW401">
        <v>0</v>
      </c>
      <c r="QX401">
        <v>0</v>
      </c>
      <c r="QY401">
        <v>0</v>
      </c>
    </row>
    <row r="402" spans="2:467" x14ac:dyDescent="0.4">
      <c r="B402" t="str">
        <f>"9784003395318"</f>
        <v>9784003395318</v>
      </c>
      <c r="C402" t="s">
        <v>1460</v>
      </c>
      <c r="D402" t="s">
        <v>1461</v>
      </c>
      <c r="E402" t="s">
        <v>1462</v>
      </c>
      <c r="G402" t="s">
        <v>521</v>
      </c>
      <c r="H402" t="str">
        <f>"0142"</f>
        <v>0142</v>
      </c>
      <c r="I402" t="s">
        <v>481</v>
      </c>
      <c r="J402" t="s">
        <v>487</v>
      </c>
      <c r="K402" t="s">
        <v>545</v>
      </c>
      <c r="L402" s="1">
        <v>44881</v>
      </c>
      <c r="M402">
        <v>780</v>
      </c>
      <c r="N402" t="str">
        <f>"421.2"</f>
        <v>421.2</v>
      </c>
      <c r="P402">
        <v>12</v>
      </c>
      <c r="Q402">
        <v>9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1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2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1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1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1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3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1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  <c r="NK402">
        <v>0</v>
      </c>
      <c r="NL402">
        <v>0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0</v>
      </c>
      <c r="OM402">
        <v>1</v>
      </c>
      <c r="ON402">
        <v>0</v>
      </c>
      <c r="OO402">
        <v>0</v>
      </c>
      <c r="OP402">
        <v>0</v>
      </c>
      <c r="OQ402">
        <v>0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0</v>
      </c>
      <c r="OY402">
        <v>0</v>
      </c>
      <c r="OZ402">
        <v>1</v>
      </c>
      <c r="PA402">
        <v>0</v>
      </c>
      <c r="PB402">
        <v>0</v>
      </c>
      <c r="PC402">
        <v>0</v>
      </c>
      <c r="PD402">
        <v>0</v>
      </c>
      <c r="PE402">
        <v>0</v>
      </c>
      <c r="PF402">
        <v>0</v>
      </c>
      <c r="PG402">
        <v>0</v>
      </c>
      <c r="PH402">
        <v>0</v>
      </c>
      <c r="PI402">
        <v>0</v>
      </c>
      <c r="PJ402">
        <v>0</v>
      </c>
      <c r="PK402">
        <v>0</v>
      </c>
      <c r="PL402">
        <v>0</v>
      </c>
      <c r="PM402">
        <v>0</v>
      </c>
      <c r="PN402">
        <v>0</v>
      </c>
      <c r="PO402">
        <v>0</v>
      </c>
      <c r="PP402">
        <v>0</v>
      </c>
      <c r="PQ402">
        <v>0</v>
      </c>
      <c r="PR402">
        <v>0</v>
      </c>
      <c r="PS402">
        <v>0</v>
      </c>
      <c r="PT402">
        <v>0</v>
      </c>
      <c r="PU402">
        <v>0</v>
      </c>
      <c r="PV402">
        <v>0</v>
      </c>
      <c r="PW402">
        <v>0</v>
      </c>
      <c r="PX402">
        <v>0</v>
      </c>
      <c r="PY402">
        <v>0</v>
      </c>
      <c r="PZ402">
        <v>0</v>
      </c>
      <c r="QA402">
        <v>0</v>
      </c>
      <c r="QB402">
        <v>0</v>
      </c>
      <c r="QC402">
        <v>0</v>
      </c>
      <c r="QD402">
        <v>0</v>
      </c>
      <c r="QE402">
        <v>0</v>
      </c>
      <c r="QF402">
        <v>0</v>
      </c>
      <c r="QG402">
        <v>0</v>
      </c>
      <c r="QH402">
        <v>0</v>
      </c>
      <c r="QI402">
        <v>0</v>
      </c>
      <c r="QJ402">
        <v>0</v>
      </c>
      <c r="QK402">
        <v>0</v>
      </c>
      <c r="QL402">
        <v>0</v>
      </c>
      <c r="QM402">
        <v>0</v>
      </c>
      <c r="QN402">
        <v>0</v>
      </c>
      <c r="QO402">
        <v>0</v>
      </c>
      <c r="QP402">
        <v>0</v>
      </c>
      <c r="QQ402">
        <v>0</v>
      </c>
      <c r="QR402">
        <v>0</v>
      </c>
      <c r="QS402">
        <v>0</v>
      </c>
      <c r="QT402">
        <v>0</v>
      </c>
      <c r="QU402">
        <v>0</v>
      </c>
      <c r="QV402">
        <v>0</v>
      </c>
      <c r="QW402">
        <v>0</v>
      </c>
      <c r="QX402">
        <v>0</v>
      </c>
      <c r="QY402">
        <v>0</v>
      </c>
    </row>
    <row r="403" spans="2:467" x14ac:dyDescent="0.4">
      <c r="B403" t="str">
        <f>"9784150504113"</f>
        <v>9784150504113</v>
      </c>
      <c r="C403" t="s">
        <v>1520</v>
      </c>
      <c r="D403" t="s">
        <v>1429</v>
      </c>
      <c r="E403" t="s">
        <v>1521</v>
      </c>
      <c r="G403" t="s">
        <v>963</v>
      </c>
      <c r="H403" t="str">
        <f>"0111"</f>
        <v>0111</v>
      </c>
      <c r="I403" t="s">
        <v>481</v>
      </c>
      <c r="J403" t="s">
        <v>487</v>
      </c>
      <c r="K403" t="s">
        <v>610</v>
      </c>
      <c r="L403" s="1">
        <v>41811</v>
      </c>
      <c r="M403">
        <v>840</v>
      </c>
      <c r="N403" t="str">
        <f>"141.8"</f>
        <v>141.8</v>
      </c>
      <c r="P403">
        <v>12</v>
      </c>
      <c r="Q403">
        <v>9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2</v>
      </c>
      <c r="CI403">
        <v>2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1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1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1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2</v>
      </c>
      <c r="IX403">
        <v>0</v>
      </c>
      <c r="IY403">
        <v>1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1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0</v>
      </c>
      <c r="NL403">
        <v>0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0</v>
      </c>
      <c r="OS403">
        <v>1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0</v>
      </c>
      <c r="OZ403">
        <v>0</v>
      </c>
      <c r="PA403">
        <v>0</v>
      </c>
      <c r="PB403">
        <v>0</v>
      </c>
      <c r="PC403">
        <v>0</v>
      </c>
      <c r="PD403">
        <v>0</v>
      </c>
      <c r="PE403">
        <v>0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0</v>
      </c>
      <c r="PL403">
        <v>0</v>
      </c>
      <c r="PM403">
        <v>0</v>
      </c>
      <c r="PN403">
        <v>0</v>
      </c>
      <c r="PO403">
        <v>0</v>
      </c>
      <c r="PP403">
        <v>0</v>
      </c>
      <c r="PQ403">
        <v>0</v>
      </c>
      <c r="PR403">
        <v>0</v>
      </c>
      <c r="PS403">
        <v>0</v>
      </c>
      <c r="PT403">
        <v>0</v>
      </c>
      <c r="PU403">
        <v>0</v>
      </c>
      <c r="PV403">
        <v>0</v>
      </c>
      <c r="PW403">
        <v>0</v>
      </c>
      <c r="PX403">
        <v>0</v>
      </c>
      <c r="PY403">
        <v>0</v>
      </c>
      <c r="PZ403">
        <v>0</v>
      </c>
      <c r="QA403">
        <v>0</v>
      </c>
      <c r="QB403">
        <v>0</v>
      </c>
      <c r="QC403">
        <v>0</v>
      </c>
      <c r="QD403">
        <v>0</v>
      </c>
      <c r="QE403">
        <v>0</v>
      </c>
      <c r="QF403">
        <v>0</v>
      </c>
      <c r="QG403">
        <v>0</v>
      </c>
      <c r="QH403">
        <v>0</v>
      </c>
      <c r="QI403">
        <v>0</v>
      </c>
      <c r="QJ403">
        <v>0</v>
      </c>
      <c r="QK403">
        <v>0</v>
      </c>
      <c r="QL403">
        <v>0</v>
      </c>
      <c r="QM403">
        <v>0</v>
      </c>
      <c r="QN403">
        <v>0</v>
      </c>
      <c r="QO403">
        <v>0</v>
      </c>
      <c r="QP403">
        <v>0</v>
      </c>
      <c r="QQ403">
        <v>0</v>
      </c>
      <c r="QR403">
        <v>0</v>
      </c>
      <c r="QS403">
        <v>0</v>
      </c>
      <c r="QT403">
        <v>0</v>
      </c>
      <c r="QU403">
        <v>0</v>
      </c>
      <c r="QV403">
        <v>0</v>
      </c>
      <c r="QW403">
        <v>0</v>
      </c>
      <c r="QX403">
        <v>0</v>
      </c>
      <c r="QY403">
        <v>0</v>
      </c>
    </row>
    <row r="404" spans="2:467" hidden="1" x14ac:dyDescent="0.4">
      <c r="B404" t="str">
        <f>"9784087212273"</f>
        <v>9784087212273</v>
      </c>
      <c r="C404" t="s">
        <v>1537</v>
      </c>
      <c r="D404" t="s">
        <v>1538</v>
      </c>
      <c r="E404" t="s">
        <v>1539</v>
      </c>
      <c r="G404" t="s">
        <v>536</v>
      </c>
      <c r="H404" t="str">
        <f>"0240"</f>
        <v>0240</v>
      </c>
      <c r="I404" t="s">
        <v>481</v>
      </c>
      <c r="J404" t="s">
        <v>482</v>
      </c>
      <c r="K404" t="s">
        <v>703</v>
      </c>
      <c r="L404" s="1">
        <v>44790</v>
      </c>
      <c r="M404">
        <v>860</v>
      </c>
      <c r="N404" t="str">
        <f>"141.5"</f>
        <v>141.5</v>
      </c>
      <c r="P404">
        <v>11</v>
      </c>
      <c r="Q404">
        <v>9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2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2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1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-1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1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2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1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1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1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  <c r="OO404">
        <v>0</v>
      </c>
      <c r="OP404">
        <v>0</v>
      </c>
      <c r="OQ404">
        <v>0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0</v>
      </c>
      <c r="OY404">
        <v>0</v>
      </c>
      <c r="OZ404">
        <v>0</v>
      </c>
      <c r="PA404">
        <v>0</v>
      </c>
      <c r="PB404">
        <v>0</v>
      </c>
      <c r="PC404">
        <v>0</v>
      </c>
      <c r="PD404">
        <v>0</v>
      </c>
      <c r="PE404">
        <v>0</v>
      </c>
      <c r="PF404">
        <v>0</v>
      </c>
      <c r="PG404">
        <v>0</v>
      </c>
      <c r="PH404">
        <v>0</v>
      </c>
      <c r="PI404">
        <v>0</v>
      </c>
      <c r="PJ404">
        <v>0</v>
      </c>
      <c r="PK404">
        <v>0</v>
      </c>
      <c r="PL404">
        <v>0</v>
      </c>
      <c r="PM404">
        <v>0</v>
      </c>
      <c r="PN404">
        <v>0</v>
      </c>
      <c r="PO404">
        <v>0</v>
      </c>
      <c r="PP404">
        <v>0</v>
      </c>
      <c r="PQ404">
        <v>0</v>
      </c>
      <c r="PR404">
        <v>0</v>
      </c>
      <c r="PS404">
        <v>0</v>
      </c>
      <c r="PT404">
        <v>0</v>
      </c>
      <c r="PU404">
        <v>0</v>
      </c>
      <c r="PV404">
        <v>0</v>
      </c>
      <c r="PW404">
        <v>0</v>
      </c>
      <c r="PX404">
        <v>0</v>
      </c>
      <c r="PY404">
        <v>0</v>
      </c>
      <c r="PZ404">
        <v>0</v>
      </c>
      <c r="QA404">
        <v>0</v>
      </c>
      <c r="QB404">
        <v>0</v>
      </c>
      <c r="QC404">
        <v>0</v>
      </c>
      <c r="QD404">
        <v>0</v>
      </c>
      <c r="QE404">
        <v>0</v>
      </c>
      <c r="QF404">
        <v>0</v>
      </c>
      <c r="QG404">
        <v>0</v>
      </c>
      <c r="QH404">
        <v>0</v>
      </c>
      <c r="QI404">
        <v>0</v>
      </c>
      <c r="QJ404">
        <v>0</v>
      </c>
      <c r="QK404">
        <v>0</v>
      </c>
      <c r="QL404">
        <v>0</v>
      </c>
      <c r="QM404">
        <v>0</v>
      </c>
      <c r="QN404">
        <v>0</v>
      </c>
      <c r="QO404">
        <v>0</v>
      </c>
      <c r="QP404">
        <v>0</v>
      </c>
      <c r="QQ404">
        <v>0</v>
      </c>
      <c r="QR404">
        <v>0</v>
      </c>
      <c r="QS404">
        <v>0</v>
      </c>
      <c r="QT404">
        <v>0</v>
      </c>
      <c r="QU404">
        <v>0</v>
      </c>
      <c r="QV404">
        <v>0</v>
      </c>
      <c r="QW404">
        <v>0</v>
      </c>
      <c r="QX404">
        <v>0</v>
      </c>
      <c r="QY404">
        <v>0</v>
      </c>
    </row>
    <row r="405" spans="2:467" x14ac:dyDescent="0.4">
      <c r="B405" t="str">
        <f>"9784041132203"</f>
        <v>9784041132203</v>
      </c>
      <c r="C405" t="s">
        <v>1553</v>
      </c>
      <c r="D405" t="s">
        <v>1554</v>
      </c>
      <c r="E405" t="s">
        <v>1555</v>
      </c>
      <c r="G405" t="s">
        <v>597</v>
      </c>
      <c r="H405" t="str">
        <f>"0193"</f>
        <v>0193</v>
      </c>
      <c r="I405" t="s">
        <v>481</v>
      </c>
      <c r="J405" t="s">
        <v>487</v>
      </c>
      <c r="K405" t="s">
        <v>488</v>
      </c>
      <c r="L405" s="1">
        <v>44949</v>
      </c>
      <c r="M405">
        <v>740</v>
      </c>
      <c r="N405" t="str">
        <f>"913.68"</f>
        <v>913.68</v>
      </c>
      <c r="P405">
        <v>11</v>
      </c>
      <c r="Q405">
        <v>9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2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1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1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1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1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1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2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1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</v>
      </c>
      <c r="NH405">
        <v>0</v>
      </c>
      <c r="NI405">
        <v>0</v>
      </c>
      <c r="NJ405">
        <v>0</v>
      </c>
      <c r="NK405">
        <v>0</v>
      </c>
      <c r="NL405">
        <v>0</v>
      </c>
      <c r="NM405">
        <v>0</v>
      </c>
      <c r="NN405">
        <v>0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0</v>
      </c>
      <c r="OI405">
        <v>0</v>
      </c>
      <c r="OJ405">
        <v>0</v>
      </c>
      <c r="OK405">
        <v>0</v>
      </c>
      <c r="OL405">
        <v>0</v>
      </c>
      <c r="OM405">
        <v>0</v>
      </c>
      <c r="ON405">
        <v>0</v>
      </c>
      <c r="OO405">
        <v>0</v>
      </c>
      <c r="OP405">
        <v>0</v>
      </c>
      <c r="OQ405">
        <v>0</v>
      </c>
      <c r="OR405">
        <v>0</v>
      </c>
      <c r="OS405">
        <v>0</v>
      </c>
      <c r="OT405">
        <v>0</v>
      </c>
      <c r="OU405">
        <v>0</v>
      </c>
      <c r="OV405">
        <v>0</v>
      </c>
      <c r="OW405">
        <v>0</v>
      </c>
      <c r="OX405">
        <v>0</v>
      </c>
      <c r="OY405">
        <v>0</v>
      </c>
      <c r="OZ405">
        <v>0</v>
      </c>
      <c r="PA405">
        <v>0</v>
      </c>
      <c r="PB405">
        <v>0</v>
      </c>
      <c r="PC405">
        <v>0</v>
      </c>
      <c r="PD405">
        <v>0</v>
      </c>
      <c r="PE405">
        <v>0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0</v>
      </c>
      <c r="PL405">
        <v>0</v>
      </c>
      <c r="PM405">
        <v>0</v>
      </c>
      <c r="PN405">
        <v>0</v>
      </c>
      <c r="PO405">
        <v>0</v>
      </c>
      <c r="PP405">
        <v>0</v>
      </c>
      <c r="PQ405">
        <v>0</v>
      </c>
      <c r="PR405">
        <v>0</v>
      </c>
      <c r="PS405">
        <v>0</v>
      </c>
      <c r="PT405">
        <v>1</v>
      </c>
      <c r="PU405">
        <v>0</v>
      </c>
      <c r="PV405">
        <v>0</v>
      </c>
      <c r="PW405">
        <v>0</v>
      </c>
      <c r="PX405">
        <v>0</v>
      </c>
      <c r="PY405">
        <v>0</v>
      </c>
      <c r="PZ405">
        <v>0</v>
      </c>
      <c r="QA405">
        <v>0</v>
      </c>
      <c r="QB405">
        <v>0</v>
      </c>
      <c r="QC405">
        <v>0</v>
      </c>
      <c r="QD405">
        <v>0</v>
      </c>
      <c r="QE405">
        <v>0</v>
      </c>
      <c r="QF405">
        <v>0</v>
      </c>
      <c r="QG405">
        <v>0</v>
      </c>
      <c r="QH405">
        <v>0</v>
      </c>
      <c r="QI405">
        <v>0</v>
      </c>
      <c r="QJ405">
        <v>0</v>
      </c>
      <c r="QK405">
        <v>0</v>
      </c>
      <c r="QL405">
        <v>0</v>
      </c>
      <c r="QM405">
        <v>0</v>
      </c>
      <c r="QN405">
        <v>0</v>
      </c>
      <c r="QO405">
        <v>0</v>
      </c>
      <c r="QP405">
        <v>0</v>
      </c>
      <c r="QQ405">
        <v>0</v>
      </c>
      <c r="QR405">
        <v>0</v>
      </c>
      <c r="QS405">
        <v>0</v>
      </c>
      <c r="QT405">
        <v>0</v>
      </c>
      <c r="QU405">
        <v>0</v>
      </c>
      <c r="QV405">
        <v>0</v>
      </c>
      <c r="QW405">
        <v>0</v>
      </c>
      <c r="QX405">
        <v>0</v>
      </c>
      <c r="QY405">
        <v>0</v>
      </c>
    </row>
    <row r="406" spans="2:467" x14ac:dyDescent="0.4">
      <c r="B406" t="str">
        <f>"9784062779401"</f>
        <v>9784062779401</v>
      </c>
      <c r="C406" t="s">
        <v>1562</v>
      </c>
      <c r="D406" t="s">
        <v>1563</v>
      </c>
      <c r="E406" t="s">
        <v>1564</v>
      </c>
      <c r="G406" t="s">
        <v>548</v>
      </c>
      <c r="H406" t="str">
        <f>"0193"</f>
        <v>0193</v>
      </c>
      <c r="I406" t="s">
        <v>481</v>
      </c>
      <c r="J406" t="s">
        <v>487</v>
      </c>
      <c r="K406" t="s">
        <v>488</v>
      </c>
      <c r="L406" s="1">
        <v>41927</v>
      </c>
      <c r="M406">
        <v>680</v>
      </c>
      <c r="N406" t="str">
        <f>"913.6"</f>
        <v>913.6</v>
      </c>
      <c r="P406">
        <v>11</v>
      </c>
      <c r="Q406">
        <v>9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1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1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1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1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1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2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1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2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0</v>
      </c>
      <c r="NA406">
        <v>0</v>
      </c>
      <c r="NB406">
        <v>0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0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0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0</v>
      </c>
      <c r="OI406">
        <v>0</v>
      </c>
      <c r="OJ406">
        <v>0</v>
      </c>
      <c r="OK406">
        <v>0</v>
      </c>
      <c r="OL406">
        <v>0</v>
      </c>
      <c r="OM406">
        <v>0</v>
      </c>
      <c r="ON406">
        <v>0</v>
      </c>
      <c r="OO406">
        <v>0</v>
      </c>
      <c r="OP406">
        <v>0</v>
      </c>
      <c r="OQ406">
        <v>0</v>
      </c>
      <c r="OR406">
        <v>0</v>
      </c>
      <c r="OS406">
        <v>0</v>
      </c>
      <c r="OT406">
        <v>0</v>
      </c>
      <c r="OU406">
        <v>0</v>
      </c>
      <c r="OV406">
        <v>0</v>
      </c>
      <c r="OW406">
        <v>0</v>
      </c>
      <c r="OX406">
        <v>0</v>
      </c>
      <c r="OY406">
        <v>0</v>
      </c>
      <c r="OZ406">
        <v>0</v>
      </c>
      <c r="PA406">
        <v>0</v>
      </c>
      <c r="PB406">
        <v>0</v>
      </c>
      <c r="PC406">
        <v>0</v>
      </c>
      <c r="PD406">
        <v>0</v>
      </c>
      <c r="PE406">
        <v>0</v>
      </c>
      <c r="PF406">
        <v>0</v>
      </c>
      <c r="PG406">
        <v>0</v>
      </c>
      <c r="PH406">
        <v>0</v>
      </c>
      <c r="PI406">
        <v>0</v>
      </c>
      <c r="PJ406">
        <v>0</v>
      </c>
      <c r="PK406">
        <v>0</v>
      </c>
      <c r="PL406">
        <v>0</v>
      </c>
      <c r="PM406">
        <v>0</v>
      </c>
      <c r="PN406">
        <v>0</v>
      </c>
      <c r="PO406">
        <v>0</v>
      </c>
      <c r="PP406">
        <v>0</v>
      </c>
      <c r="PQ406">
        <v>0</v>
      </c>
      <c r="PR406">
        <v>0</v>
      </c>
      <c r="PS406">
        <v>0</v>
      </c>
      <c r="PT406">
        <v>0</v>
      </c>
      <c r="PU406">
        <v>1</v>
      </c>
      <c r="PV406">
        <v>0</v>
      </c>
      <c r="PW406">
        <v>0</v>
      </c>
      <c r="PX406">
        <v>0</v>
      </c>
      <c r="PY406">
        <v>0</v>
      </c>
      <c r="PZ406">
        <v>0</v>
      </c>
      <c r="QA406">
        <v>0</v>
      </c>
      <c r="QB406">
        <v>0</v>
      </c>
      <c r="QC406">
        <v>0</v>
      </c>
      <c r="QD406">
        <v>0</v>
      </c>
      <c r="QE406">
        <v>0</v>
      </c>
      <c r="QF406">
        <v>0</v>
      </c>
      <c r="QG406">
        <v>0</v>
      </c>
      <c r="QH406">
        <v>0</v>
      </c>
      <c r="QI406">
        <v>0</v>
      </c>
      <c r="QJ406">
        <v>0</v>
      </c>
      <c r="QK406">
        <v>0</v>
      </c>
      <c r="QL406">
        <v>0</v>
      </c>
      <c r="QM406">
        <v>0</v>
      </c>
      <c r="QN406">
        <v>0</v>
      </c>
      <c r="QO406">
        <v>0</v>
      </c>
      <c r="QP406">
        <v>0</v>
      </c>
      <c r="QQ406">
        <v>0</v>
      </c>
      <c r="QR406">
        <v>0</v>
      </c>
      <c r="QS406">
        <v>0</v>
      </c>
      <c r="QT406">
        <v>0</v>
      </c>
      <c r="QU406">
        <v>0</v>
      </c>
      <c r="QV406">
        <v>0</v>
      </c>
      <c r="QW406">
        <v>0</v>
      </c>
      <c r="QX406">
        <v>0</v>
      </c>
      <c r="QY406">
        <v>0</v>
      </c>
    </row>
    <row r="407" spans="2:467" hidden="1" x14ac:dyDescent="0.4">
      <c r="B407" t="str">
        <f>"9784004318538"</f>
        <v>9784004318538</v>
      </c>
      <c r="C407" t="s">
        <v>1570</v>
      </c>
      <c r="D407" t="s">
        <v>1571</v>
      </c>
      <c r="E407" t="s">
        <v>1572</v>
      </c>
      <c r="G407" t="s">
        <v>521</v>
      </c>
      <c r="H407" t="str">
        <f>"0236"</f>
        <v>0236</v>
      </c>
      <c r="I407" t="s">
        <v>481</v>
      </c>
      <c r="J407" t="s">
        <v>482</v>
      </c>
      <c r="K407" t="s">
        <v>505</v>
      </c>
      <c r="L407" s="1">
        <v>44125</v>
      </c>
      <c r="M407">
        <v>880</v>
      </c>
      <c r="N407" t="str">
        <f>"002.7"</f>
        <v>002.7</v>
      </c>
      <c r="P407">
        <v>11</v>
      </c>
      <c r="Q407">
        <v>9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1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1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1</v>
      </c>
      <c r="JG407">
        <v>0</v>
      </c>
      <c r="JH407">
        <v>0</v>
      </c>
      <c r="JI407">
        <v>0</v>
      </c>
      <c r="JJ407">
        <v>2</v>
      </c>
      <c r="JK407">
        <v>0</v>
      </c>
      <c r="JL407">
        <v>0</v>
      </c>
      <c r="JM407">
        <v>1</v>
      </c>
      <c r="JN407">
        <v>0</v>
      </c>
      <c r="JO407">
        <v>0</v>
      </c>
      <c r="JP407">
        <v>0</v>
      </c>
      <c r="JQ407">
        <v>1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1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1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0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0</v>
      </c>
      <c r="PT407">
        <v>0</v>
      </c>
      <c r="PU407">
        <v>0</v>
      </c>
      <c r="PV407">
        <v>0</v>
      </c>
      <c r="PW407">
        <v>0</v>
      </c>
      <c r="PX407">
        <v>0</v>
      </c>
      <c r="PY407">
        <v>0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0</v>
      </c>
      <c r="QG407">
        <v>0</v>
      </c>
      <c r="QH407">
        <v>0</v>
      </c>
      <c r="QI407">
        <v>0</v>
      </c>
      <c r="QJ407">
        <v>0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2</v>
      </c>
      <c r="QR407">
        <v>0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</row>
    <row r="408" spans="2:467" x14ac:dyDescent="0.4">
      <c r="B408" t="str">
        <f>"9784344432482"</f>
        <v>9784344432482</v>
      </c>
      <c r="C408" t="s">
        <v>1597</v>
      </c>
      <c r="D408" t="s">
        <v>880</v>
      </c>
      <c r="E408" t="s">
        <v>1598</v>
      </c>
      <c r="G408" t="s">
        <v>714</v>
      </c>
      <c r="H408" t="str">
        <f>"0193"</f>
        <v>0193</v>
      </c>
      <c r="I408" t="s">
        <v>481</v>
      </c>
      <c r="J408" t="s">
        <v>487</v>
      </c>
      <c r="K408" t="s">
        <v>488</v>
      </c>
      <c r="L408" s="1">
        <v>44903</v>
      </c>
      <c r="M408">
        <v>540</v>
      </c>
      <c r="N408" t="str">
        <f>"913.6"</f>
        <v>913.6</v>
      </c>
      <c r="P408">
        <v>11</v>
      </c>
      <c r="Q408">
        <v>9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1</v>
      </c>
      <c r="BC408">
        <v>0</v>
      </c>
      <c r="BD408">
        <v>0</v>
      </c>
      <c r="BE408">
        <v>0</v>
      </c>
      <c r="BF408">
        <v>0</v>
      </c>
      <c r="BG408">
        <v>1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1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1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1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3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0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0</v>
      </c>
      <c r="PT408">
        <v>0</v>
      </c>
      <c r="PU408">
        <v>0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0</v>
      </c>
      <c r="QB408">
        <v>0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0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</row>
    <row r="409" spans="2:467" hidden="1" x14ac:dyDescent="0.4">
      <c r="B409" t="str">
        <f>"9784121027108"</f>
        <v>9784121027108</v>
      </c>
      <c r="C409" t="s">
        <v>1599</v>
      </c>
      <c r="D409" t="s">
        <v>1600</v>
      </c>
      <c r="E409">
        <v>2710</v>
      </c>
      <c r="G409" t="s">
        <v>540</v>
      </c>
      <c r="H409" t="str">
        <f>"1231"</f>
        <v>1231</v>
      </c>
      <c r="I409" t="s">
        <v>541</v>
      </c>
      <c r="J409" t="s">
        <v>482</v>
      </c>
      <c r="K409" t="s">
        <v>502</v>
      </c>
      <c r="L409" s="1">
        <v>44792</v>
      </c>
      <c r="M409">
        <v>900</v>
      </c>
      <c r="N409" t="str">
        <f>"391.6"</f>
        <v>391.6</v>
      </c>
      <c r="P409">
        <v>11</v>
      </c>
      <c r="Q409">
        <v>9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3</v>
      </c>
      <c r="CI409">
        <v>1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1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1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1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0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1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1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1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0</v>
      </c>
      <c r="PT409">
        <v>1</v>
      </c>
      <c r="PU409">
        <v>0</v>
      </c>
      <c r="PV409">
        <v>0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</row>
    <row r="410" spans="2:467" x14ac:dyDescent="0.4">
      <c r="B410" t="str">
        <f>"9784041092453"</f>
        <v>9784041092453</v>
      </c>
      <c r="C410">
        <v>1984</v>
      </c>
      <c r="D410" t="s">
        <v>1235</v>
      </c>
      <c r="E410" t="s">
        <v>1606</v>
      </c>
      <c r="G410" t="s">
        <v>597</v>
      </c>
      <c r="H410" t="str">
        <f>"0197"</f>
        <v>0197</v>
      </c>
      <c r="I410" t="s">
        <v>481</v>
      </c>
      <c r="J410" t="s">
        <v>487</v>
      </c>
      <c r="K410" t="s">
        <v>564</v>
      </c>
      <c r="L410" s="1">
        <v>44279</v>
      </c>
      <c r="M410">
        <v>840</v>
      </c>
      <c r="N410" t="str">
        <f>"933"</f>
        <v>933</v>
      </c>
      <c r="P410">
        <v>11</v>
      </c>
      <c r="Q410">
        <v>9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1</v>
      </c>
      <c r="CI410">
        <v>1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1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1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1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1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2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2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  <c r="NG410">
        <v>0</v>
      </c>
      <c r="NH410">
        <v>0</v>
      </c>
      <c r="NI410">
        <v>0</v>
      </c>
      <c r="NJ410">
        <v>0</v>
      </c>
      <c r="NK410">
        <v>0</v>
      </c>
      <c r="NL410">
        <v>0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0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0</v>
      </c>
      <c r="PB410">
        <v>0</v>
      </c>
      <c r="PC410">
        <v>0</v>
      </c>
      <c r="PD410">
        <v>0</v>
      </c>
      <c r="PE410">
        <v>0</v>
      </c>
      <c r="PF410">
        <v>0</v>
      </c>
      <c r="PG410">
        <v>0</v>
      </c>
      <c r="PH410">
        <v>0</v>
      </c>
      <c r="PI410">
        <v>0</v>
      </c>
      <c r="PJ410">
        <v>0</v>
      </c>
      <c r="PK410">
        <v>0</v>
      </c>
      <c r="PL410">
        <v>0</v>
      </c>
      <c r="PM410">
        <v>0</v>
      </c>
      <c r="PN410">
        <v>0</v>
      </c>
      <c r="PO410">
        <v>0</v>
      </c>
      <c r="PP410">
        <v>0</v>
      </c>
      <c r="PQ410">
        <v>0</v>
      </c>
      <c r="PR410">
        <v>0</v>
      </c>
      <c r="PS410">
        <v>0</v>
      </c>
      <c r="PT410">
        <v>0</v>
      </c>
      <c r="PU410">
        <v>0</v>
      </c>
      <c r="PV410">
        <v>0</v>
      </c>
      <c r="PW410">
        <v>0</v>
      </c>
      <c r="PX410">
        <v>0</v>
      </c>
      <c r="PY410">
        <v>0</v>
      </c>
      <c r="PZ410">
        <v>0</v>
      </c>
      <c r="QA410">
        <v>0</v>
      </c>
      <c r="QB410">
        <v>0</v>
      </c>
      <c r="QC410">
        <v>0</v>
      </c>
      <c r="QD410">
        <v>0</v>
      </c>
      <c r="QE410">
        <v>0</v>
      </c>
      <c r="QF410">
        <v>0</v>
      </c>
      <c r="QG410">
        <v>0</v>
      </c>
      <c r="QH410">
        <v>0</v>
      </c>
      <c r="QI410">
        <v>0</v>
      </c>
      <c r="QJ410">
        <v>0</v>
      </c>
      <c r="QK410">
        <v>0</v>
      </c>
      <c r="QL410">
        <v>0</v>
      </c>
      <c r="QM410">
        <v>0</v>
      </c>
      <c r="QN410">
        <v>0</v>
      </c>
      <c r="QO410">
        <v>0</v>
      </c>
      <c r="QP410">
        <v>0</v>
      </c>
      <c r="QQ410">
        <v>0</v>
      </c>
      <c r="QR410">
        <v>0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</row>
    <row r="411" spans="2:467" x14ac:dyDescent="0.4">
      <c r="B411" t="str">
        <f>"9784408556888"</f>
        <v>9784408556888</v>
      </c>
      <c r="C411" t="s">
        <v>1607</v>
      </c>
      <c r="D411" t="s">
        <v>803</v>
      </c>
      <c r="E411" t="s">
        <v>1608</v>
      </c>
      <c r="G411" t="s">
        <v>1609</v>
      </c>
      <c r="H411" t="str">
        <f>"0193"</f>
        <v>0193</v>
      </c>
      <c r="I411" t="s">
        <v>481</v>
      </c>
      <c r="J411" t="s">
        <v>487</v>
      </c>
      <c r="K411" t="s">
        <v>488</v>
      </c>
      <c r="L411" s="1">
        <v>44476</v>
      </c>
      <c r="M411">
        <v>720</v>
      </c>
      <c r="N411" t="str">
        <f>"913.6"</f>
        <v>913.6</v>
      </c>
      <c r="P411">
        <v>11</v>
      </c>
      <c r="Q411">
        <v>9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1</v>
      </c>
      <c r="FP411">
        <v>0</v>
      </c>
      <c r="FQ411">
        <v>0</v>
      </c>
      <c r="FR411">
        <v>1</v>
      </c>
      <c r="FS411">
        <v>0</v>
      </c>
      <c r="FT411">
        <v>2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1</v>
      </c>
      <c r="GJ411">
        <v>0</v>
      </c>
      <c r="GK411">
        <v>0</v>
      </c>
      <c r="GL411">
        <v>0</v>
      </c>
      <c r="GM411">
        <v>0</v>
      </c>
      <c r="GN411">
        <v>1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1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1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2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0</v>
      </c>
      <c r="NL411">
        <v>0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0</v>
      </c>
      <c r="NW411">
        <v>0</v>
      </c>
      <c r="NX411">
        <v>0</v>
      </c>
      <c r="NY411">
        <v>0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0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0</v>
      </c>
      <c r="PL411">
        <v>0</v>
      </c>
      <c r="PM411">
        <v>0</v>
      </c>
      <c r="PN411">
        <v>0</v>
      </c>
      <c r="PO411">
        <v>0</v>
      </c>
      <c r="PP411">
        <v>0</v>
      </c>
      <c r="PQ411">
        <v>0</v>
      </c>
      <c r="PR411">
        <v>0</v>
      </c>
      <c r="PS411">
        <v>0</v>
      </c>
      <c r="PT411">
        <v>0</v>
      </c>
      <c r="PU411">
        <v>0</v>
      </c>
      <c r="PV411">
        <v>0</v>
      </c>
      <c r="PW411">
        <v>0</v>
      </c>
      <c r="PX411">
        <v>0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0</v>
      </c>
      <c r="QG411">
        <v>0</v>
      </c>
      <c r="QH411">
        <v>0</v>
      </c>
      <c r="QI411">
        <v>0</v>
      </c>
      <c r="QJ411">
        <v>0</v>
      </c>
      <c r="QK411">
        <v>0</v>
      </c>
      <c r="QL411">
        <v>0</v>
      </c>
      <c r="QM411">
        <v>0</v>
      </c>
      <c r="QN411">
        <v>0</v>
      </c>
      <c r="QO411">
        <v>0</v>
      </c>
      <c r="QP411">
        <v>0</v>
      </c>
      <c r="QQ411">
        <v>1</v>
      </c>
      <c r="QR411">
        <v>0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</row>
    <row r="412" spans="2:467" hidden="1" x14ac:dyDescent="0.4">
      <c r="B412" t="str">
        <f>"9784121027030"</f>
        <v>9784121027030</v>
      </c>
      <c r="C412" t="s">
        <v>1613</v>
      </c>
      <c r="D412" t="s">
        <v>1614</v>
      </c>
      <c r="E412">
        <v>2703</v>
      </c>
      <c r="G412" t="s">
        <v>540</v>
      </c>
      <c r="H412" t="str">
        <f>"1221"</f>
        <v>1221</v>
      </c>
      <c r="I412" t="s">
        <v>541</v>
      </c>
      <c r="J412" t="s">
        <v>482</v>
      </c>
      <c r="K412" t="s">
        <v>620</v>
      </c>
      <c r="L412" s="1">
        <v>44732</v>
      </c>
      <c r="M412">
        <v>840</v>
      </c>
      <c r="N412" t="str">
        <f>"210.6"</f>
        <v>210.6</v>
      </c>
      <c r="P412">
        <v>11</v>
      </c>
      <c r="Q412">
        <v>9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1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1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1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1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1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1</v>
      </c>
      <c r="JO412">
        <v>0</v>
      </c>
      <c r="JP412">
        <v>0</v>
      </c>
      <c r="JQ412">
        <v>1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2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2</v>
      </c>
      <c r="PL412">
        <v>0</v>
      </c>
      <c r="PM412">
        <v>0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0</v>
      </c>
      <c r="PT412">
        <v>0</v>
      </c>
      <c r="PU412">
        <v>0</v>
      </c>
      <c r="PV412">
        <v>0</v>
      </c>
      <c r="PW412">
        <v>0</v>
      </c>
      <c r="PX412">
        <v>0</v>
      </c>
      <c r="PY412">
        <v>0</v>
      </c>
      <c r="PZ412">
        <v>0</v>
      </c>
      <c r="QA412">
        <v>0</v>
      </c>
      <c r="QB412">
        <v>0</v>
      </c>
      <c r="QC412">
        <v>0</v>
      </c>
      <c r="QD412">
        <v>0</v>
      </c>
      <c r="QE412">
        <v>0</v>
      </c>
      <c r="QF412">
        <v>0</v>
      </c>
      <c r="QG412">
        <v>0</v>
      </c>
      <c r="QH412">
        <v>0</v>
      </c>
      <c r="QI412">
        <v>0</v>
      </c>
      <c r="QJ412">
        <v>0</v>
      </c>
      <c r="QK412">
        <v>0</v>
      </c>
      <c r="QL412">
        <v>0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0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</row>
    <row r="413" spans="2:467" hidden="1" x14ac:dyDescent="0.4">
      <c r="B413" t="str">
        <f>"9784004319221"</f>
        <v>9784004319221</v>
      </c>
      <c r="C413" t="s">
        <v>1615</v>
      </c>
      <c r="D413" t="s">
        <v>1616</v>
      </c>
      <c r="E413" t="s">
        <v>1617</v>
      </c>
      <c r="G413" t="s">
        <v>521</v>
      </c>
      <c r="H413" t="str">
        <f>"0245"</f>
        <v>0245</v>
      </c>
      <c r="I413" t="s">
        <v>481</v>
      </c>
      <c r="J413" t="s">
        <v>482</v>
      </c>
      <c r="K413" t="s">
        <v>593</v>
      </c>
      <c r="L413" s="1">
        <v>44639</v>
      </c>
      <c r="M413">
        <v>880</v>
      </c>
      <c r="N413" t="str">
        <f>"468"</f>
        <v>468</v>
      </c>
      <c r="P413">
        <v>11</v>
      </c>
      <c r="Q413">
        <v>9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1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1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1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2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1</v>
      </c>
      <c r="JG413">
        <v>0</v>
      </c>
      <c r="JH413">
        <v>0</v>
      </c>
      <c r="JI413">
        <v>0</v>
      </c>
      <c r="JJ413">
        <v>2</v>
      </c>
      <c r="JK413">
        <v>0</v>
      </c>
      <c r="JL413">
        <v>0</v>
      </c>
      <c r="JM413">
        <v>1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1</v>
      </c>
      <c r="MM413">
        <v>0</v>
      </c>
      <c r="MN413">
        <v>1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0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</v>
      </c>
      <c r="PQ413">
        <v>0</v>
      </c>
      <c r="PR413">
        <v>0</v>
      </c>
      <c r="PS413">
        <v>0</v>
      </c>
      <c r="PT413">
        <v>0</v>
      </c>
      <c r="PU413">
        <v>0</v>
      </c>
      <c r="PV413">
        <v>0</v>
      </c>
      <c r="PW413">
        <v>0</v>
      </c>
      <c r="PX413">
        <v>0</v>
      </c>
      <c r="PY413">
        <v>0</v>
      </c>
      <c r="PZ413">
        <v>0</v>
      </c>
      <c r="QA413">
        <v>0</v>
      </c>
      <c r="QB413">
        <v>0</v>
      </c>
      <c r="QC413">
        <v>0</v>
      </c>
      <c r="QD413">
        <v>0</v>
      </c>
      <c r="QE413">
        <v>0</v>
      </c>
      <c r="QF413">
        <v>0</v>
      </c>
      <c r="QG413">
        <v>0</v>
      </c>
      <c r="QH413">
        <v>0</v>
      </c>
      <c r="QI413">
        <v>0</v>
      </c>
      <c r="QJ413">
        <v>0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0</v>
      </c>
      <c r="QS413">
        <v>0</v>
      </c>
      <c r="QT413">
        <v>0</v>
      </c>
      <c r="QU413">
        <v>0</v>
      </c>
      <c r="QV413">
        <v>0</v>
      </c>
      <c r="QW413">
        <v>0</v>
      </c>
      <c r="QX413">
        <v>0</v>
      </c>
      <c r="QY413">
        <v>0</v>
      </c>
    </row>
    <row r="414" spans="2:467" hidden="1" x14ac:dyDescent="0.4">
      <c r="B414" t="str">
        <f>"9784065293812"</f>
        <v>9784065293812</v>
      </c>
      <c r="C414" t="s">
        <v>1632</v>
      </c>
      <c r="D414" t="s">
        <v>1633</v>
      </c>
      <c r="E414" t="s">
        <v>1634</v>
      </c>
      <c r="G414" t="s">
        <v>548</v>
      </c>
      <c r="H414" t="str">
        <f>"0275"</f>
        <v>0275</v>
      </c>
      <c r="I414" t="s">
        <v>481</v>
      </c>
      <c r="J414" t="s">
        <v>482</v>
      </c>
      <c r="K414" t="s">
        <v>1635</v>
      </c>
      <c r="L414" s="1">
        <v>44818</v>
      </c>
      <c r="M414">
        <v>1000</v>
      </c>
      <c r="N414" t="str">
        <f>"780.7"</f>
        <v>780.7</v>
      </c>
      <c r="P414">
        <v>11</v>
      </c>
      <c r="Q414">
        <v>9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2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1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1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2</v>
      </c>
      <c r="HW414">
        <v>1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1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1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1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0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0</v>
      </c>
      <c r="PN414">
        <v>0</v>
      </c>
      <c r="PO414">
        <v>0</v>
      </c>
      <c r="PP414">
        <v>0</v>
      </c>
      <c r="PQ414">
        <v>0</v>
      </c>
      <c r="PR414">
        <v>0</v>
      </c>
      <c r="PS414">
        <v>0</v>
      </c>
      <c r="PT414">
        <v>0</v>
      </c>
      <c r="PU414">
        <v>0</v>
      </c>
      <c r="PV414">
        <v>0</v>
      </c>
      <c r="PW414">
        <v>0</v>
      </c>
      <c r="PX414">
        <v>0</v>
      </c>
      <c r="PY414">
        <v>0</v>
      </c>
      <c r="PZ414">
        <v>0</v>
      </c>
      <c r="QA414">
        <v>0</v>
      </c>
      <c r="QB414">
        <v>0</v>
      </c>
      <c r="QC414">
        <v>0</v>
      </c>
      <c r="QD414">
        <v>0</v>
      </c>
      <c r="QE414">
        <v>0</v>
      </c>
      <c r="QF414">
        <v>0</v>
      </c>
      <c r="QG414">
        <v>0</v>
      </c>
      <c r="QH414">
        <v>0</v>
      </c>
      <c r="QI414">
        <v>0</v>
      </c>
      <c r="QJ414">
        <v>0</v>
      </c>
      <c r="QK414">
        <v>0</v>
      </c>
      <c r="QL414">
        <v>0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0</v>
      </c>
      <c r="QS414">
        <v>0</v>
      </c>
      <c r="QT414">
        <v>0</v>
      </c>
      <c r="QU414">
        <v>0</v>
      </c>
      <c r="QV414">
        <v>0</v>
      </c>
      <c r="QW414">
        <v>0</v>
      </c>
      <c r="QX414">
        <v>0</v>
      </c>
      <c r="QY414">
        <v>0</v>
      </c>
    </row>
    <row r="415" spans="2:467" x14ac:dyDescent="0.4">
      <c r="B415" t="str">
        <f>"9784006004477"</f>
        <v>9784006004477</v>
      </c>
      <c r="C415" t="s">
        <v>1639</v>
      </c>
      <c r="D415" t="s">
        <v>1640</v>
      </c>
      <c r="E415" t="s">
        <v>1641</v>
      </c>
      <c r="G415" t="s">
        <v>521</v>
      </c>
      <c r="H415" t="str">
        <f>"0131"</f>
        <v>0131</v>
      </c>
      <c r="I415" t="s">
        <v>481</v>
      </c>
      <c r="J415" t="s">
        <v>487</v>
      </c>
      <c r="K415" t="s">
        <v>502</v>
      </c>
      <c r="L415" s="1">
        <v>44669</v>
      </c>
      <c r="M415">
        <v>1620</v>
      </c>
      <c r="N415" t="str">
        <f>"311.1"</f>
        <v>311.1</v>
      </c>
      <c r="P415">
        <v>11</v>
      </c>
      <c r="Q415">
        <v>9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2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1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1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1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1</v>
      </c>
      <c r="HB415">
        <v>0</v>
      </c>
      <c r="HC415">
        <v>0</v>
      </c>
      <c r="HD415">
        <v>0</v>
      </c>
      <c r="HE415">
        <v>0</v>
      </c>
      <c r="HF415">
        <v>1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2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1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0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0</v>
      </c>
      <c r="PT415">
        <v>0</v>
      </c>
      <c r="PU415">
        <v>0</v>
      </c>
      <c r="PV415">
        <v>0</v>
      </c>
      <c r="PW415">
        <v>0</v>
      </c>
      <c r="PX415">
        <v>0</v>
      </c>
      <c r="PY415">
        <v>0</v>
      </c>
      <c r="PZ415">
        <v>0</v>
      </c>
      <c r="QA415">
        <v>1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0</v>
      </c>
      <c r="QH415">
        <v>0</v>
      </c>
      <c r="QI415">
        <v>0</v>
      </c>
      <c r="QJ415">
        <v>0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0</v>
      </c>
      <c r="QQ415">
        <v>0</v>
      </c>
      <c r="QR415">
        <v>0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</row>
    <row r="416" spans="2:467" x14ac:dyDescent="0.4">
      <c r="B416" t="str">
        <f>"9784101023519"</f>
        <v>9784101023519</v>
      </c>
      <c r="C416" t="s">
        <v>1642</v>
      </c>
      <c r="D416" t="s">
        <v>828</v>
      </c>
      <c r="E416" t="s">
        <v>1643</v>
      </c>
      <c r="G416" t="s">
        <v>516</v>
      </c>
      <c r="H416" t="str">
        <f>"0193"</f>
        <v>0193</v>
      </c>
      <c r="I416" t="s">
        <v>481</v>
      </c>
      <c r="J416" t="s">
        <v>487</v>
      </c>
      <c r="K416" t="s">
        <v>488</v>
      </c>
      <c r="L416" s="1">
        <v>44132</v>
      </c>
      <c r="M416">
        <v>630</v>
      </c>
      <c r="N416" t="str">
        <f>"913.6"</f>
        <v>913.6</v>
      </c>
      <c r="P416">
        <v>11</v>
      </c>
      <c r="Q416">
        <v>9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1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1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1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1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0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0</v>
      </c>
      <c r="NT416">
        <v>0</v>
      </c>
      <c r="NU416">
        <v>0</v>
      </c>
      <c r="NV416">
        <v>0</v>
      </c>
      <c r="NW416">
        <v>0</v>
      </c>
      <c r="NX416">
        <v>0</v>
      </c>
      <c r="NY416">
        <v>2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1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0</v>
      </c>
      <c r="PT416">
        <v>2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0</v>
      </c>
      <c r="QY416">
        <v>0</v>
      </c>
    </row>
    <row r="417" spans="2:467" x14ac:dyDescent="0.4">
      <c r="B417" t="str">
        <f>"9784309467719"</f>
        <v>9784309467719</v>
      </c>
      <c r="C417" t="s">
        <v>1644</v>
      </c>
      <c r="D417" t="s">
        <v>1645</v>
      </c>
      <c r="E417" t="s">
        <v>1646</v>
      </c>
      <c r="G417" t="s">
        <v>1143</v>
      </c>
      <c r="H417" t="str">
        <f>"0145"</f>
        <v>0145</v>
      </c>
      <c r="I417" t="s">
        <v>481</v>
      </c>
      <c r="J417" t="s">
        <v>487</v>
      </c>
      <c r="K417" t="s">
        <v>593</v>
      </c>
      <c r="L417" s="1">
        <v>44901</v>
      </c>
      <c r="M417">
        <v>1270</v>
      </c>
      <c r="N417" t="str">
        <f>"491.371"</f>
        <v>491.371</v>
      </c>
      <c r="P417">
        <v>11</v>
      </c>
      <c r="Q417">
        <v>9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2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1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1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1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1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1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1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0</v>
      </c>
      <c r="NL417">
        <v>0</v>
      </c>
      <c r="NM417">
        <v>0</v>
      </c>
      <c r="NN417">
        <v>0</v>
      </c>
      <c r="NO417">
        <v>0</v>
      </c>
      <c r="NP417">
        <v>0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1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2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0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0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0</v>
      </c>
      <c r="PT417">
        <v>0</v>
      </c>
      <c r="PU417">
        <v>0</v>
      </c>
      <c r="PV417">
        <v>0</v>
      </c>
      <c r="PW417">
        <v>0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0</v>
      </c>
      <c r="QG417">
        <v>0</v>
      </c>
      <c r="QH417">
        <v>0</v>
      </c>
      <c r="QI417">
        <v>0</v>
      </c>
      <c r="QJ417">
        <v>0</v>
      </c>
      <c r="QK417">
        <v>0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0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</row>
    <row r="418" spans="2:467" hidden="1" x14ac:dyDescent="0.4">
      <c r="B418" t="str">
        <f>"9784480075192"</f>
        <v>9784480075192</v>
      </c>
      <c r="C418" t="s">
        <v>1673</v>
      </c>
      <c r="D418" t="s">
        <v>1674</v>
      </c>
      <c r="E418">
        <v>1694</v>
      </c>
      <c r="G418" t="s">
        <v>501</v>
      </c>
      <c r="H418" t="str">
        <f>"0231"</f>
        <v>0231</v>
      </c>
      <c r="I418" t="s">
        <v>481</v>
      </c>
      <c r="J418" t="s">
        <v>482</v>
      </c>
      <c r="K418" t="s">
        <v>502</v>
      </c>
      <c r="L418" s="1">
        <v>44875</v>
      </c>
      <c r="M418">
        <v>860</v>
      </c>
      <c r="N418" t="str">
        <f>"539.091"</f>
        <v>539.091</v>
      </c>
      <c r="P418">
        <v>10</v>
      </c>
      <c r="Q418">
        <v>9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1</v>
      </c>
      <c r="EE418">
        <v>0</v>
      </c>
      <c r="EF418">
        <v>0</v>
      </c>
      <c r="EG418">
        <v>1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1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1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2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1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1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1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  <c r="NK418">
        <v>0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0</v>
      </c>
      <c r="PT418">
        <v>0</v>
      </c>
      <c r="PU418">
        <v>0</v>
      </c>
      <c r="PV418">
        <v>0</v>
      </c>
      <c r="PW418">
        <v>0</v>
      </c>
      <c r="PX418">
        <v>0</v>
      </c>
      <c r="PY418">
        <v>0</v>
      </c>
      <c r="PZ418">
        <v>0</v>
      </c>
      <c r="QA418">
        <v>0</v>
      </c>
      <c r="QB418">
        <v>0</v>
      </c>
      <c r="QC418">
        <v>0</v>
      </c>
      <c r="QD418">
        <v>0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0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</row>
    <row r="419" spans="2:467" x14ac:dyDescent="0.4">
      <c r="B419" t="str">
        <f>"9784101215235"</f>
        <v>9784101215235</v>
      </c>
      <c r="C419" t="s">
        <v>1677</v>
      </c>
      <c r="D419" t="s">
        <v>1678</v>
      </c>
      <c r="E419" t="s">
        <v>1679</v>
      </c>
      <c r="G419" t="s">
        <v>516</v>
      </c>
      <c r="H419" t="str">
        <f>"0193"</f>
        <v>0193</v>
      </c>
      <c r="I419" t="s">
        <v>481</v>
      </c>
      <c r="J419" t="s">
        <v>487</v>
      </c>
      <c r="K419" t="s">
        <v>488</v>
      </c>
      <c r="L419" s="1">
        <v>38687</v>
      </c>
      <c r="M419">
        <v>590</v>
      </c>
      <c r="N419" t="str">
        <f>"913.6"</f>
        <v>913.6</v>
      </c>
      <c r="P419">
        <v>10</v>
      </c>
      <c r="Q419">
        <v>9</v>
      </c>
      <c r="R419">
        <v>0</v>
      </c>
      <c r="S419">
        <v>0</v>
      </c>
      <c r="T419">
        <v>2</v>
      </c>
      <c r="U419">
        <v>0</v>
      </c>
      <c r="V419">
        <v>0</v>
      </c>
      <c r="W419">
        <v>1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1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1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1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1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1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0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1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1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0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0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</v>
      </c>
      <c r="QJ419">
        <v>0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</v>
      </c>
      <c r="QR419">
        <v>0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</row>
    <row r="420" spans="2:467" hidden="1" x14ac:dyDescent="0.4">
      <c r="B420" t="str">
        <f>"9784087211580"</f>
        <v>9784087211580</v>
      </c>
      <c r="C420" t="s">
        <v>1687</v>
      </c>
      <c r="D420" t="s">
        <v>1688</v>
      </c>
      <c r="E420" t="s">
        <v>1689</v>
      </c>
      <c r="G420" t="s">
        <v>536</v>
      </c>
      <c r="H420" t="str">
        <f>"0236"</f>
        <v>0236</v>
      </c>
      <c r="I420" t="s">
        <v>481</v>
      </c>
      <c r="J420" t="s">
        <v>482</v>
      </c>
      <c r="K420" t="s">
        <v>505</v>
      </c>
      <c r="L420" s="1">
        <v>44271</v>
      </c>
      <c r="M420">
        <v>840</v>
      </c>
      <c r="N420" t="str">
        <f>"151.5"</f>
        <v>151.5</v>
      </c>
      <c r="P420">
        <v>10</v>
      </c>
      <c r="Q420">
        <v>9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1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1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2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1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1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1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1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0</v>
      </c>
      <c r="PT420">
        <v>1</v>
      </c>
      <c r="PU420">
        <v>0</v>
      </c>
      <c r="PV420">
        <v>0</v>
      </c>
      <c r="PW420">
        <v>0</v>
      </c>
      <c r="PX420">
        <v>0</v>
      </c>
      <c r="PY420">
        <v>0</v>
      </c>
      <c r="PZ420">
        <v>0</v>
      </c>
      <c r="QA420">
        <v>0</v>
      </c>
      <c r="QB420">
        <v>0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1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0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</row>
    <row r="421" spans="2:467" hidden="1" x14ac:dyDescent="0.4">
      <c r="B421" t="str">
        <f>"9784315526400"</f>
        <v>9784315526400</v>
      </c>
      <c r="C421" t="s">
        <v>1709</v>
      </c>
      <c r="G421" t="s">
        <v>1199</v>
      </c>
      <c r="H421" t="str">
        <f>"0210"</f>
        <v>0210</v>
      </c>
      <c r="I421" t="s">
        <v>481</v>
      </c>
      <c r="J421" t="s">
        <v>482</v>
      </c>
      <c r="K421" t="s">
        <v>483</v>
      </c>
      <c r="L421" s="1">
        <v>44881</v>
      </c>
      <c r="M421">
        <v>2182</v>
      </c>
      <c r="N421" t="str">
        <f>"116.5"</f>
        <v>116.5</v>
      </c>
      <c r="P421">
        <v>10</v>
      </c>
      <c r="Q421">
        <v>9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1</v>
      </c>
      <c r="CI421">
        <v>0</v>
      </c>
      <c r="CJ421">
        <v>0</v>
      </c>
      <c r="CK421">
        <v>1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1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1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1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2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1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0</v>
      </c>
      <c r="NL421">
        <v>0</v>
      </c>
      <c r="NM421">
        <v>0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1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1</v>
      </c>
      <c r="PP421">
        <v>0</v>
      </c>
      <c r="PQ421">
        <v>0</v>
      </c>
      <c r="PR421">
        <v>0</v>
      </c>
      <c r="PS421">
        <v>0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</row>
    <row r="422" spans="2:467" x14ac:dyDescent="0.4">
      <c r="B422" t="str">
        <f>"9784101267722"</f>
        <v>9784101267722</v>
      </c>
      <c r="C422" t="s">
        <v>1710</v>
      </c>
      <c r="D422" t="s">
        <v>685</v>
      </c>
      <c r="E422" t="s">
        <v>1711</v>
      </c>
      <c r="G422" t="s">
        <v>516</v>
      </c>
      <c r="H422" t="str">
        <f>"0193"</f>
        <v>0193</v>
      </c>
      <c r="I422" t="s">
        <v>481</v>
      </c>
      <c r="J422" t="s">
        <v>487</v>
      </c>
      <c r="K422" t="s">
        <v>488</v>
      </c>
      <c r="L422" s="1">
        <v>42917</v>
      </c>
      <c r="M422">
        <v>670</v>
      </c>
      <c r="N422" t="str">
        <f>"913.6"</f>
        <v>913.6</v>
      </c>
      <c r="P422">
        <v>10</v>
      </c>
      <c r="Q422">
        <v>9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2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1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1</v>
      </c>
      <c r="HD422">
        <v>0</v>
      </c>
      <c r="HE422">
        <v>0</v>
      </c>
      <c r="HF422">
        <v>1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1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1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  <c r="NK422">
        <v>0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1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1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0</v>
      </c>
      <c r="PT422">
        <v>0</v>
      </c>
      <c r="PU422">
        <v>1</v>
      </c>
      <c r="PV422">
        <v>0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0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</row>
    <row r="423" spans="2:467" x14ac:dyDescent="0.4">
      <c r="B423" t="str">
        <f>"9784101250236"</f>
        <v>9784101250236</v>
      </c>
      <c r="C423" t="s">
        <v>1712</v>
      </c>
      <c r="D423" t="s">
        <v>803</v>
      </c>
      <c r="E423" t="s">
        <v>1713</v>
      </c>
      <c r="G423" t="s">
        <v>516</v>
      </c>
      <c r="H423" t="str">
        <f>"0193"</f>
        <v>0193</v>
      </c>
      <c r="I423" t="s">
        <v>481</v>
      </c>
      <c r="J423" t="s">
        <v>487</v>
      </c>
      <c r="K423" t="s">
        <v>488</v>
      </c>
      <c r="L423" s="1">
        <v>38899</v>
      </c>
      <c r="M423">
        <v>750</v>
      </c>
      <c r="N423" t="str">
        <f>"913.6"</f>
        <v>913.6</v>
      </c>
      <c r="P423">
        <v>10</v>
      </c>
      <c r="Q423">
        <v>9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1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2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1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1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0</v>
      </c>
      <c r="NL423">
        <v>0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1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1</v>
      </c>
      <c r="PL423">
        <v>0</v>
      </c>
      <c r="PM423">
        <v>0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0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0</v>
      </c>
      <c r="QQ423">
        <v>0</v>
      </c>
      <c r="QR423">
        <v>0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1</v>
      </c>
      <c r="QY423">
        <v>0</v>
      </c>
    </row>
    <row r="424" spans="2:467" hidden="1" x14ac:dyDescent="0.4">
      <c r="B424" t="str">
        <f>"9784480074935"</f>
        <v>9784480074935</v>
      </c>
      <c r="C424" t="s">
        <v>1737</v>
      </c>
      <c r="D424" t="s">
        <v>1738</v>
      </c>
      <c r="E424">
        <v>1667</v>
      </c>
      <c r="G424" t="s">
        <v>501</v>
      </c>
      <c r="H424" t="str">
        <f>"0211"</f>
        <v>0211</v>
      </c>
      <c r="I424" t="s">
        <v>481</v>
      </c>
      <c r="J424" t="s">
        <v>482</v>
      </c>
      <c r="K424" t="s">
        <v>610</v>
      </c>
      <c r="L424" s="1">
        <v>44749</v>
      </c>
      <c r="M424">
        <v>860</v>
      </c>
      <c r="N424" t="str">
        <f>"801.04"</f>
        <v>801.04</v>
      </c>
      <c r="P424">
        <v>10</v>
      </c>
      <c r="Q424">
        <v>9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2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1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1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1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1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1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1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0</v>
      </c>
      <c r="PJ424">
        <v>0</v>
      </c>
      <c r="PK424">
        <v>1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0</v>
      </c>
      <c r="PT424">
        <v>0</v>
      </c>
      <c r="PU424">
        <v>0</v>
      </c>
      <c r="PV424">
        <v>1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0</v>
      </c>
      <c r="QQ424">
        <v>0</v>
      </c>
      <c r="QR424">
        <v>0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</row>
    <row r="425" spans="2:467" hidden="1" x14ac:dyDescent="0.4">
      <c r="B425" t="str">
        <f>"9784480074997"</f>
        <v>9784480074997</v>
      </c>
      <c r="C425" t="s">
        <v>1739</v>
      </c>
      <c r="D425" t="s">
        <v>1740</v>
      </c>
      <c r="E425">
        <v>1677</v>
      </c>
      <c r="G425" t="s">
        <v>501</v>
      </c>
      <c r="H425" t="str">
        <f>"0247"</f>
        <v>0247</v>
      </c>
      <c r="I425" t="s">
        <v>481</v>
      </c>
      <c r="J425" t="s">
        <v>482</v>
      </c>
      <c r="K425" t="s">
        <v>670</v>
      </c>
      <c r="L425" s="1">
        <v>44781</v>
      </c>
      <c r="M425">
        <v>900</v>
      </c>
      <c r="N425" t="str">
        <f>"498.2"</f>
        <v>498.2</v>
      </c>
      <c r="P425">
        <v>10</v>
      </c>
      <c r="Q425">
        <v>9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1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1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1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1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1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2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1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1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0</v>
      </c>
      <c r="PX425">
        <v>0</v>
      </c>
      <c r="PY425">
        <v>0</v>
      </c>
      <c r="PZ425">
        <v>0</v>
      </c>
      <c r="QA425">
        <v>1</v>
      </c>
      <c r="QB425">
        <v>0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</v>
      </c>
      <c r="QR425">
        <v>0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</row>
    <row r="426" spans="2:467" x14ac:dyDescent="0.4">
      <c r="B426" t="str">
        <f>"9784591172063"</f>
        <v>9784591172063</v>
      </c>
      <c r="C426" t="s">
        <v>1763</v>
      </c>
      <c r="D426" t="s">
        <v>1173</v>
      </c>
      <c r="E426" t="s">
        <v>1764</v>
      </c>
      <c r="G426" t="s">
        <v>572</v>
      </c>
      <c r="H426" t="str">
        <f>"0193"</f>
        <v>0193</v>
      </c>
      <c r="I426" t="s">
        <v>481</v>
      </c>
      <c r="J426" t="s">
        <v>487</v>
      </c>
      <c r="K426" t="s">
        <v>488</v>
      </c>
      <c r="L426" s="1">
        <v>44537</v>
      </c>
      <c r="M426">
        <v>740</v>
      </c>
      <c r="N426" t="str">
        <f>"913.6"</f>
        <v>913.6</v>
      </c>
      <c r="P426">
        <v>10</v>
      </c>
      <c r="Q426">
        <v>9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1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1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1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2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0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1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1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1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0</v>
      </c>
      <c r="PT426">
        <v>0</v>
      </c>
      <c r="PU426">
        <v>0</v>
      </c>
      <c r="PV426">
        <v>0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0</v>
      </c>
      <c r="QP426">
        <v>0</v>
      </c>
      <c r="QQ426">
        <v>0</v>
      </c>
      <c r="QR426">
        <v>0</v>
      </c>
      <c r="QS426">
        <v>0</v>
      </c>
      <c r="QT426">
        <v>0</v>
      </c>
      <c r="QU426">
        <v>0</v>
      </c>
      <c r="QV426">
        <v>0</v>
      </c>
      <c r="QW426">
        <v>0</v>
      </c>
      <c r="QX426">
        <v>0</v>
      </c>
      <c r="QY426">
        <v>0</v>
      </c>
    </row>
    <row r="427" spans="2:467" hidden="1" x14ac:dyDescent="0.4">
      <c r="B427" t="str">
        <f>"9784166613939"</f>
        <v>9784166613939</v>
      </c>
      <c r="C427" t="s">
        <v>1770</v>
      </c>
      <c r="D427" t="s">
        <v>1771</v>
      </c>
      <c r="E427">
        <v>1393</v>
      </c>
      <c r="G427" t="s">
        <v>639</v>
      </c>
      <c r="H427" t="str">
        <f>"0295"</f>
        <v>0295</v>
      </c>
      <c r="I427" t="s">
        <v>481</v>
      </c>
      <c r="J427" t="s">
        <v>482</v>
      </c>
      <c r="K427" t="s">
        <v>509</v>
      </c>
      <c r="L427" s="1">
        <v>44910</v>
      </c>
      <c r="M427">
        <v>950</v>
      </c>
      <c r="N427" t="str">
        <f>"209.5"</f>
        <v>209.5</v>
      </c>
      <c r="P427">
        <v>10</v>
      </c>
      <c r="Q427">
        <v>9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1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1</v>
      </c>
      <c r="FP427">
        <v>0</v>
      </c>
      <c r="FQ427">
        <v>0</v>
      </c>
      <c r="FR427">
        <v>0</v>
      </c>
      <c r="FS427">
        <v>0</v>
      </c>
      <c r="FT427">
        <v>1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1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1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0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2</v>
      </c>
      <c r="NS427">
        <v>0</v>
      </c>
      <c r="NT427">
        <v>0</v>
      </c>
      <c r="NU427">
        <v>0</v>
      </c>
      <c r="NV427">
        <v>0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1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  <c r="PB427">
        <v>0</v>
      </c>
      <c r="PC427">
        <v>0</v>
      </c>
      <c r="PD427">
        <v>0</v>
      </c>
      <c r="PE427">
        <v>0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0</v>
      </c>
      <c r="PL427">
        <v>0</v>
      </c>
      <c r="PM427">
        <v>0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0</v>
      </c>
      <c r="PT427">
        <v>0</v>
      </c>
      <c r="PU427">
        <v>0</v>
      </c>
      <c r="PV427">
        <v>0</v>
      </c>
      <c r="PW427">
        <v>0</v>
      </c>
      <c r="PX427">
        <v>0</v>
      </c>
      <c r="PY427">
        <v>0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0</v>
      </c>
      <c r="QG427">
        <v>0</v>
      </c>
      <c r="QH427">
        <v>0</v>
      </c>
      <c r="QI427">
        <v>0</v>
      </c>
      <c r="QJ427">
        <v>0</v>
      </c>
      <c r="QK427">
        <v>1</v>
      </c>
      <c r="QL427">
        <v>0</v>
      </c>
      <c r="QM427">
        <v>0</v>
      </c>
      <c r="QN427">
        <v>0</v>
      </c>
      <c r="QO427">
        <v>1</v>
      </c>
      <c r="QP427">
        <v>0</v>
      </c>
      <c r="QQ427">
        <v>0</v>
      </c>
      <c r="QR427">
        <v>0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</row>
    <row r="428" spans="2:467" hidden="1" x14ac:dyDescent="0.4">
      <c r="B428" t="str">
        <f>"9784004319467"</f>
        <v>9784004319467</v>
      </c>
      <c r="C428" t="s">
        <v>1772</v>
      </c>
      <c r="D428" t="s">
        <v>1773</v>
      </c>
      <c r="E428" t="s">
        <v>1774</v>
      </c>
      <c r="G428" t="s">
        <v>521</v>
      </c>
      <c r="H428" t="str">
        <f>"0236"</f>
        <v>0236</v>
      </c>
      <c r="I428" t="s">
        <v>481</v>
      </c>
      <c r="J428" t="s">
        <v>482</v>
      </c>
      <c r="K428" t="s">
        <v>505</v>
      </c>
      <c r="L428" s="1">
        <v>44886</v>
      </c>
      <c r="M428">
        <v>900</v>
      </c>
      <c r="N428" t="str">
        <f>"319.8"</f>
        <v>319.8</v>
      </c>
      <c r="P428">
        <v>10</v>
      </c>
      <c r="Q428">
        <v>9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1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1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1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1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1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2</v>
      </c>
      <c r="JR428">
        <v>1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0</v>
      </c>
      <c r="NK428">
        <v>0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1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0</v>
      </c>
      <c r="PT428">
        <v>0</v>
      </c>
      <c r="PU428">
        <v>0</v>
      </c>
      <c r="PV428">
        <v>0</v>
      </c>
      <c r="PW428">
        <v>0</v>
      </c>
      <c r="PX428">
        <v>0</v>
      </c>
      <c r="PY428">
        <v>0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1</v>
      </c>
      <c r="QL428">
        <v>0</v>
      </c>
      <c r="QM428">
        <v>0</v>
      </c>
      <c r="QN428">
        <v>0</v>
      </c>
      <c r="QO428">
        <v>0</v>
      </c>
      <c r="QP428">
        <v>0</v>
      </c>
      <c r="QQ428">
        <v>0</v>
      </c>
      <c r="QR428">
        <v>0</v>
      </c>
      <c r="QS428">
        <v>0</v>
      </c>
      <c r="QT428">
        <v>0</v>
      </c>
      <c r="QU428">
        <v>0</v>
      </c>
      <c r="QV428">
        <v>0</v>
      </c>
      <c r="QW428">
        <v>0</v>
      </c>
      <c r="QX428">
        <v>0</v>
      </c>
      <c r="QY428">
        <v>0</v>
      </c>
    </row>
    <row r="429" spans="2:467" x14ac:dyDescent="0.4">
      <c r="B429" t="str">
        <f>"9784041132241"</f>
        <v>9784041132241</v>
      </c>
      <c r="C429" t="s">
        <v>1775</v>
      </c>
      <c r="D429" t="s">
        <v>1776</v>
      </c>
      <c r="E429" t="s">
        <v>1777</v>
      </c>
      <c r="G429" t="s">
        <v>597</v>
      </c>
      <c r="H429" t="str">
        <f>"0193"</f>
        <v>0193</v>
      </c>
      <c r="I429" t="s">
        <v>481</v>
      </c>
      <c r="J429" t="s">
        <v>487</v>
      </c>
      <c r="K429" t="s">
        <v>488</v>
      </c>
      <c r="L429" s="1">
        <v>44949</v>
      </c>
      <c r="M429">
        <v>840</v>
      </c>
      <c r="N429" t="str">
        <f>"913.6"</f>
        <v>913.6</v>
      </c>
      <c r="P429">
        <v>10</v>
      </c>
      <c r="Q429">
        <v>9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2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1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1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1</v>
      </c>
      <c r="FW429">
        <v>0</v>
      </c>
      <c r="FX429">
        <v>0</v>
      </c>
      <c r="FY429">
        <v>0</v>
      </c>
      <c r="FZ429">
        <v>1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1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1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1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0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1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0</v>
      </c>
      <c r="PT429">
        <v>0</v>
      </c>
      <c r="PU429">
        <v>0</v>
      </c>
      <c r="PV429">
        <v>0</v>
      </c>
      <c r="PW429">
        <v>0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0</v>
      </c>
      <c r="QG429">
        <v>0</v>
      </c>
      <c r="QH429">
        <v>0</v>
      </c>
      <c r="QI429">
        <v>0</v>
      </c>
      <c r="QJ429">
        <v>0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0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</row>
    <row r="430" spans="2:467" x14ac:dyDescent="0.4">
      <c r="B430" t="str">
        <f>"9784101167602"</f>
        <v>9784101167602</v>
      </c>
      <c r="C430" t="s">
        <v>1792</v>
      </c>
      <c r="D430" t="s">
        <v>1793</v>
      </c>
      <c r="E430" t="s">
        <v>1794</v>
      </c>
      <c r="G430" t="s">
        <v>516</v>
      </c>
      <c r="H430" t="str">
        <f>"0193"</f>
        <v>0193</v>
      </c>
      <c r="I430" t="s">
        <v>481</v>
      </c>
      <c r="J430" t="s">
        <v>487</v>
      </c>
      <c r="K430" t="s">
        <v>488</v>
      </c>
      <c r="L430" s="1">
        <v>40604</v>
      </c>
      <c r="M430">
        <v>670</v>
      </c>
      <c r="N430" t="str">
        <f>"913.6"</f>
        <v>913.6</v>
      </c>
      <c r="P430">
        <v>10</v>
      </c>
      <c r="Q430">
        <v>9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1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1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1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1</v>
      </c>
      <c r="JZ430">
        <v>0</v>
      </c>
      <c r="KA430">
        <v>0</v>
      </c>
      <c r="KB430">
        <v>1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0</v>
      </c>
      <c r="NA430">
        <v>0</v>
      </c>
      <c r="NB430">
        <v>0</v>
      </c>
      <c r="NC430">
        <v>0</v>
      </c>
      <c r="ND430">
        <v>0</v>
      </c>
      <c r="NE430">
        <v>1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0</v>
      </c>
      <c r="NL430">
        <v>0</v>
      </c>
      <c r="NM430">
        <v>0</v>
      </c>
      <c r="NN430">
        <v>0</v>
      </c>
      <c r="NO430">
        <v>0</v>
      </c>
      <c r="NP430">
        <v>0</v>
      </c>
      <c r="NQ430">
        <v>0</v>
      </c>
      <c r="NR430">
        <v>0</v>
      </c>
      <c r="NS430">
        <v>0</v>
      </c>
      <c r="NT430">
        <v>0</v>
      </c>
      <c r="NU430">
        <v>0</v>
      </c>
      <c r="NV430">
        <v>0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C430">
        <v>0</v>
      </c>
      <c r="OD430">
        <v>0</v>
      </c>
      <c r="OE430">
        <v>0</v>
      </c>
      <c r="OF430">
        <v>0</v>
      </c>
      <c r="OG430">
        <v>0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1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0</v>
      </c>
      <c r="PL430">
        <v>0</v>
      </c>
      <c r="PM430">
        <v>2</v>
      </c>
      <c r="PN430">
        <v>0</v>
      </c>
      <c r="PO430">
        <v>0</v>
      </c>
      <c r="PP430">
        <v>0</v>
      </c>
      <c r="PQ430">
        <v>0</v>
      </c>
      <c r="PR430">
        <v>0</v>
      </c>
      <c r="PS430">
        <v>0</v>
      </c>
      <c r="PT430">
        <v>0</v>
      </c>
      <c r="PU430">
        <v>0</v>
      </c>
      <c r="PV430">
        <v>0</v>
      </c>
      <c r="PW430">
        <v>0</v>
      </c>
      <c r="PX430">
        <v>0</v>
      </c>
      <c r="PY430">
        <v>0</v>
      </c>
      <c r="PZ430">
        <v>0</v>
      </c>
      <c r="QA430">
        <v>0</v>
      </c>
      <c r="QB430">
        <v>0</v>
      </c>
      <c r="QC430">
        <v>0</v>
      </c>
      <c r="QD430">
        <v>0</v>
      </c>
      <c r="QE430">
        <v>0</v>
      </c>
      <c r="QF430">
        <v>0</v>
      </c>
      <c r="QG430">
        <v>0</v>
      </c>
      <c r="QH430">
        <v>0</v>
      </c>
      <c r="QI430">
        <v>0</v>
      </c>
      <c r="QJ430">
        <v>0</v>
      </c>
      <c r="QK430">
        <v>0</v>
      </c>
      <c r="QL430">
        <v>0</v>
      </c>
      <c r="QM430">
        <v>0</v>
      </c>
      <c r="QN430">
        <v>0</v>
      </c>
      <c r="QO430">
        <v>0</v>
      </c>
      <c r="QP430">
        <v>0</v>
      </c>
      <c r="QQ430">
        <v>1</v>
      </c>
      <c r="QR430">
        <v>0</v>
      </c>
      <c r="QS430">
        <v>0</v>
      </c>
      <c r="QT430">
        <v>0</v>
      </c>
      <c r="QU430">
        <v>0</v>
      </c>
      <c r="QV430">
        <v>0</v>
      </c>
      <c r="QW430">
        <v>0</v>
      </c>
      <c r="QX430">
        <v>0</v>
      </c>
      <c r="QY430">
        <v>0</v>
      </c>
    </row>
    <row r="431" spans="2:467" hidden="1" x14ac:dyDescent="0.4">
      <c r="B431" t="str">
        <f>"9784065302705"</f>
        <v>9784065302705</v>
      </c>
      <c r="C431" t="s">
        <v>1795</v>
      </c>
      <c r="D431" t="s">
        <v>1796</v>
      </c>
      <c r="E431" t="s">
        <v>1797</v>
      </c>
      <c r="G431" t="s">
        <v>548</v>
      </c>
      <c r="H431" t="str">
        <f>"0242"</f>
        <v>0242</v>
      </c>
      <c r="I431" t="s">
        <v>481</v>
      </c>
      <c r="J431" t="s">
        <v>482</v>
      </c>
      <c r="K431" t="s">
        <v>545</v>
      </c>
      <c r="L431" s="1">
        <v>44881</v>
      </c>
      <c r="M431">
        <v>1400</v>
      </c>
      <c r="N431" t="str">
        <f>"443.9"</f>
        <v>443.9</v>
      </c>
      <c r="P431">
        <v>10</v>
      </c>
      <c r="Q431">
        <v>9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1</v>
      </c>
      <c r="BP431">
        <v>0</v>
      </c>
      <c r="BQ431">
        <v>0</v>
      </c>
      <c r="BR431">
        <v>0</v>
      </c>
      <c r="BS431">
        <v>1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2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1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1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1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  <c r="NK431">
        <v>0</v>
      </c>
      <c r="NL431">
        <v>0</v>
      </c>
      <c r="NM431">
        <v>0</v>
      </c>
      <c r="NN431">
        <v>0</v>
      </c>
      <c r="NO431">
        <v>0</v>
      </c>
      <c r="NP431">
        <v>0</v>
      </c>
      <c r="NQ431">
        <v>0</v>
      </c>
      <c r="NR431">
        <v>1</v>
      </c>
      <c r="NS431">
        <v>0</v>
      </c>
      <c r="NT431">
        <v>0</v>
      </c>
      <c r="NU431">
        <v>0</v>
      </c>
      <c r="NV431">
        <v>0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  <c r="PB431">
        <v>0</v>
      </c>
      <c r="PC431">
        <v>0</v>
      </c>
      <c r="PD431">
        <v>0</v>
      </c>
      <c r="PE431">
        <v>0</v>
      </c>
      <c r="PF431">
        <v>0</v>
      </c>
      <c r="PG431">
        <v>0</v>
      </c>
      <c r="PH431">
        <v>0</v>
      </c>
      <c r="PI431">
        <v>0</v>
      </c>
      <c r="PJ431">
        <v>0</v>
      </c>
      <c r="PK431">
        <v>0</v>
      </c>
      <c r="PL431">
        <v>0</v>
      </c>
      <c r="PM431">
        <v>0</v>
      </c>
      <c r="PN431">
        <v>0</v>
      </c>
      <c r="PO431">
        <v>0</v>
      </c>
      <c r="PP431">
        <v>0</v>
      </c>
      <c r="PQ431">
        <v>0</v>
      </c>
      <c r="PR431">
        <v>0</v>
      </c>
      <c r="PS431">
        <v>0</v>
      </c>
      <c r="PT431">
        <v>0</v>
      </c>
      <c r="PU431">
        <v>0</v>
      </c>
      <c r="PV431">
        <v>1</v>
      </c>
      <c r="PW431">
        <v>0</v>
      </c>
      <c r="PX431">
        <v>0</v>
      </c>
      <c r="PY431">
        <v>0</v>
      </c>
      <c r="PZ431">
        <v>0</v>
      </c>
      <c r="QA431">
        <v>0</v>
      </c>
      <c r="QB431">
        <v>0</v>
      </c>
      <c r="QC431">
        <v>0</v>
      </c>
      <c r="QD431">
        <v>0</v>
      </c>
      <c r="QE431">
        <v>0</v>
      </c>
      <c r="QF431">
        <v>0</v>
      </c>
      <c r="QG431">
        <v>0</v>
      </c>
      <c r="QH431">
        <v>0</v>
      </c>
      <c r="QI431">
        <v>0</v>
      </c>
      <c r="QJ431">
        <v>0</v>
      </c>
      <c r="QK431">
        <v>0</v>
      </c>
      <c r="QL431">
        <v>0</v>
      </c>
      <c r="QM431">
        <v>0</v>
      </c>
      <c r="QN431">
        <v>0</v>
      </c>
      <c r="QO431">
        <v>0</v>
      </c>
      <c r="QP431">
        <v>0</v>
      </c>
      <c r="QQ431">
        <v>0</v>
      </c>
      <c r="QR431">
        <v>0</v>
      </c>
      <c r="QS431">
        <v>0</v>
      </c>
      <c r="QT431">
        <v>0</v>
      </c>
      <c r="QU431">
        <v>0</v>
      </c>
      <c r="QV431">
        <v>0</v>
      </c>
      <c r="QW431">
        <v>0</v>
      </c>
      <c r="QX431">
        <v>0</v>
      </c>
      <c r="QY431">
        <v>0</v>
      </c>
    </row>
    <row r="432" spans="2:467" hidden="1" x14ac:dyDescent="0.4">
      <c r="B432" t="str">
        <f>"9784065277614"</f>
        <v>9784065277614</v>
      </c>
      <c r="C432" t="s">
        <v>1798</v>
      </c>
      <c r="D432" t="s">
        <v>1799</v>
      </c>
      <c r="E432" t="s">
        <v>1800</v>
      </c>
      <c r="G432" t="s">
        <v>548</v>
      </c>
      <c r="H432" t="str">
        <f>"0241"</f>
        <v>0241</v>
      </c>
      <c r="I432" t="s">
        <v>481</v>
      </c>
      <c r="J432" t="s">
        <v>482</v>
      </c>
      <c r="K432" t="s">
        <v>604</v>
      </c>
      <c r="L432" s="1">
        <v>44727</v>
      </c>
      <c r="M432">
        <v>1300</v>
      </c>
      <c r="N432" t="str">
        <f>"410"</f>
        <v>410</v>
      </c>
      <c r="P432">
        <v>10</v>
      </c>
      <c r="Q432">
        <v>9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1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1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2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1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1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1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1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  <c r="NG432">
        <v>0</v>
      </c>
      <c r="NH432">
        <v>0</v>
      </c>
      <c r="NI432">
        <v>0</v>
      </c>
      <c r="NJ432">
        <v>0</v>
      </c>
      <c r="NK432">
        <v>0</v>
      </c>
      <c r="NL432">
        <v>0</v>
      </c>
      <c r="NM432">
        <v>0</v>
      </c>
      <c r="NN432">
        <v>0</v>
      </c>
      <c r="NO432">
        <v>0</v>
      </c>
      <c r="NP432">
        <v>0</v>
      </c>
      <c r="NQ432">
        <v>0</v>
      </c>
      <c r="NR432">
        <v>0</v>
      </c>
      <c r="NS432">
        <v>0</v>
      </c>
      <c r="NT432">
        <v>0</v>
      </c>
      <c r="NU432">
        <v>0</v>
      </c>
      <c r="NV432">
        <v>1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C432">
        <v>0</v>
      </c>
      <c r="OD432">
        <v>0</v>
      </c>
      <c r="OE432">
        <v>0</v>
      </c>
      <c r="OF432">
        <v>0</v>
      </c>
      <c r="OG432">
        <v>0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  <c r="PB432">
        <v>0</v>
      </c>
      <c r="PC432">
        <v>0</v>
      </c>
      <c r="PD432">
        <v>0</v>
      </c>
      <c r="PE432">
        <v>0</v>
      </c>
      <c r="PF432">
        <v>0</v>
      </c>
      <c r="PG432">
        <v>0</v>
      </c>
      <c r="PH432">
        <v>0</v>
      </c>
      <c r="PI432">
        <v>0</v>
      </c>
      <c r="PJ432">
        <v>0</v>
      </c>
      <c r="PK432">
        <v>0</v>
      </c>
      <c r="PL432">
        <v>1</v>
      </c>
      <c r="PM432">
        <v>0</v>
      </c>
      <c r="PN432">
        <v>0</v>
      </c>
      <c r="PO432">
        <v>0</v>
      </c>
      <c r="PP432">
        <v>0</v>
      </c>
      <c r="PQ432">
        <v>0</v>
      </c>
      <c r="PR432">
        <v>0</v>
      </c>
      <c r="PS432">
        <v>0</v>
      </c>
      <c r="PT432">
        <v>0</v>
      </c>
      <c r="PU432">
        <v>0</v>
      </c>
      <c r="PV432">
        <v>0</v>
      </c>
      <c r="PW432">
        <v>0</v>
      </c>
      <c r="PX432">
        <v>0</v>
      </c>
      <c r="PY432">
        <v>0</v>
      </c>
      <c r="PZ432">
        <v>0</v>
      </c>
      <c r="QA432">
        <v>0</v>
      </c>
      <c r="QB432">
        <v>0</v>
      </c>
      <c r="QC432">
        <v>0</v>
      </c>
      <c r="QD432">
        <v>0</v>
      </c>
      <c r="QE432">
        <v>0</v>
      </c>
      <c r="QF432">
        <v>0</v>
      </c>
      <c r="QG432">
        <v>0</v>
      </c>
      <c r="QH432">
        <v>0</v>
      </c>
      <c r="QI432">
        <v>0</v>
      </c>
      <c r="QJ432">
        <v>0</v>
      </c>
      <c r="QK432">
        <v>0</v>
      </c>
      <c r="QL432">
        <v>0</v>
      </c>
      <c r="QM432">
        <v>0</v>
      </c>
      <c r="QN432">
        <v>0</v>
      </c>
      <c r="QO432">
        <v>0</v>
      </c>
      <c r="QP432">
        <v>0</v>
      </c>
      <c r="QQ432">
        <v>0</v>
      </c>
      <c r="QR432">
        <v>0</v>
      </c>
      <c r="QS432">
        <v>0</v>
      </c>
      <c r="QT432">
        <v>0</v>
      </c>
      <c r="QU432">
        <v>0</v>
      </c>
      <c r="QV432">
        <v>0</v>
      </c>
      <c r="QW432">
        <v>0</v>
      </c>
      <c r="QX432">
        <v>0</v>
      </c>
      <c r="QY432">
        <v>0</v>
      </c>
    </row>
    <row r="433" spans="2:467" hidden="1" x14ac:dyDescent="0.4">
      <c r="B433" t="str">
        <f>"9784334046347"</f>
        <v>9784334046347</v>
      </c>
      <c r="C433" t="s">
        <v>1810</v>
      </c>
      <c r="D433" t="s">
        <v>1811</v>
      </c>
      <c r="E433">
        <v>1227</v>
      </c>
      <c r="G433" t="s">
        <v>676</v>
      </c>
      <c r="H433" t="str">
        <f>"0236"</f>
        <v>0236</v>
      </c>
      <c r="I433" t="s">
        <v>481</v>
      </c>
      <c r="J433" t="s">
        <v>482</v>
      </c>
      <c r="K433" t="s">
        <v>505</v>
      </c>
      <c r="L433" s="1">
        <v>44852</v>
      </c>
      <c r="M433">
        <v>960</v>
      </c>
      <c r="N433" t="str">
        <f>"302.126"</f>
        <v>302.126</v>
      </c>
      <c r="P433">
        <v>10</v>
      </c>
      <c r="Q433">
        <v>9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1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1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1</v>
      </c>
      <c r="CI433">
        <v>1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2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1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0</v>
      </c>
      <c r="NL433">
        <v>0</v>
      </c>
      <c r="NM433">
        <v>0</v>
      </c>
      <c r="NN433">
        <v>0</v>
      </c>
      <c r="NO433">
        <v>0</v>
      </c>
      <c r="NP433">
        <v>0</v>
      </c>
      <c r="NQ433">
        <v>0</v>
      </c>
      <c r="NR433">
        <v>0</v>
      </c>
      <c r="NS433">
        <v>0</v>
      </c>
      <c r="NT433">
        <v>0</v>
      </c>
      <c r="NU433">
        <v>0</v>
      </c>
      <c r="NV433">
        <v>0</v>
      </c>
      <c r="NW433">
        <v>0</v>
      </c>
      <c r="NX433">
        <v>0</v>
      </c>
      <c r="NY433">
        <v>1</v>
      </c>
      <c r="NZ433">
        <v>0</v>
      </c>
      <c r="OA433">
        <v>0</v>
      </c>
      <c r="OB433">
        <v>0</v>
      </c>
      <c r="OC433">
        <v>0</v>
      </c>
      <c r="OD433">
        <v>0</v>
      </c>
      <c r="OE433">
        <v>0</v>
      </c>
      <c r="OF433">
        <v>0</v>
      </c>
      <c r="OG433">
        <v>0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0</v>
      </c>
      <c r="PB433">
        <v>0</v>
      </c>
      <c r="PC433">
        <v>0</v>
      </c>
      <c r="PD433">
        <v>0</v>
      </c>
      <c r="PE433">
        <v>0</v>
      </c>
      <c r="PF433">
        <v>0</v>
      </c>
      <c r="PG433">
        <v>0</v>
      </c>
      <c r="PH433">
        <v>0</v>
      </c>
      <c r="PI433">
        <v>0</v>
      </c>
      <c r="PJ433">
        <v>0</v>
      </c>
      <c r="PK433">
        <v>0</v>
      </c>
      <c r="PL433">
        <v>0</v>
      </c>
      <c r="PM433">
        <v>0</v>
      </c>
      <c r="PN433">
        <v>0</v>
      </c>
      <c r="PO433">
        <v>0</v>
      </c>
      <c r="PP433">
        <v>0</v>
      </c>
      <c r="PQ433">
        <v>0</v>
      </c>
      <c r="PR433">
        <v>0</v>
      </c>
      <c r="PS433">
        <v>0</v>
      </c>
      <c r="PT433">
        <v>0</v>
      </c>
      <c r="PU433">
        <v>0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</v>
      </c>
      <c r="QB433">
        <v>0</v>
      </c>
      <c r="QC433">
        <v>0</v>
      </c>
      <c r="QD433">
        <v>0</v>
      </c>
      <c r="QE433">
        <v>0</v>
      </c>
      <c r="QF433">
        <v>0</v>
      </c>
      <c r="QG433">
        <v>1</v>
      </c>
      <c r="QH433">
        <v>0</v>
      </c>
      <c r="QI433">
        <v>0</v>
      </c>
      <c r="QJ433">
        <v>0</v>
      </c>
      <c r="QK433">
        <v>0</v>
      </c>
      <c r="QL433">
        <v>0</v>
      </c>
      <c r="QM433">
        <v>0</v>
      </c>
      <c r="QN433">
        <v>0</v>
      </c>
      <c r="QO433">
        <v>0</v>
      </c>
      <c r="QP433">
        <v>0</v>
      </c>
      <c r="QQ433">
        <v>0</v>
      </c>
      <c r="QR433">
        <v>0</v>
      </c>
      <c r="QS433">
        <v>0</v>
      </c>
      <c r="QT433">
        <v>0</v>
      </c>
      <c r="QU433">
        <v>0</v>
      </c>
      <c r="QV433">
        <v>0</v>
      </c>
      <c r="QW433">
        <v>0</v>
      </c>
      <c r="QX433">
        <v>0</v>
      </c>
      <c r="QY433">
        <v>1</v>
      </c>
    </row>
    <row r="434" spans="2:467" hidden="1" x14ac:dyDescent="0.4">
      <c r="B434" t="str">
        <f>"9784569853673"</f>
        <v>9784569853673</v>
      </c>
      <c r="C434" t="s">
        <v>1817</v>
      </c>
      <c r="D434" t="s">
        <v>1818</v>
      </c>
      <c r="E434">
        <v>1334</v>
      </c>
      <c r="G434" t="s">
        <v>717</v>
      </c>
      <c r="H434" t="str">
        <f>"0230"</f>
        <v>0230</v>
      </c>
      <c r="I434" t="s">
        <v>481</v>
      </c>
      <c r="J434" t="s">
        <v>482</v>
      </c>
      <c r="K434" t="s">
        <v>600</v>
      </c>
      <c r="L434" s="1">
        <v>44914</v>
      </c>
      <c r="M434">
        <v>1050</v>
      </c>
      <c r="N434" t="str">
        <f>"336.3"</f>
        <v>336.3</v>
      </c>
      <c r="P434">
        <v>10</v>
      </c>
      <c r="Q434">
        <v>9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1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2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1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1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1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1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1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1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0</v>
      </c>
      <c r="NV434">
        <v>0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1</v>
      </c>
      <c r="OC434">
        <v>0</v>
      </c>
      <c r="OD434">
        <v>0</v>
      </c>
      <c r="OE434">
        <v>0</v>
      </c>
      <c r="OF434">
        <v>0</v>
      </c>
      <c r="OG434">
        <v>0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0</v>
      </c>
      <c r="OY434">
        <v>0</v>
      </c>
      <c r="OZ434">
        <v>0</v>
      </c>
      <c r="PA434">
        <v>0</v>
      </c>
      <c r="PB434">
        <v>0</v>
      </c>
      <c r="PC434">
        <v>0</v>
      </c>
      <c r="PD434">
        <v>0</v>
      </c>
      <c r="PE434">
        <v>0</v>
      </c>
      <c r="PF434">
        <v>0</v>
      </c>
      <c r="PG434">
        <v>0</v>
      </c>
      <c r="PH434">
        <v>0</v>
      </c>
      <c r="PI434">
        <v>0</v>
      </c>
      <c r="PJ434">
        <v>0</v>
      </c>
      <c r="PK434">
        <v>0</v>
      </c>
      <c r="PL434">
        <v>0</v>
      </c>
      <c r="PM434">
        <v>0</v>
      </c>
      <c r="PN434">
        <v>0</v>
      </c>
      <c r="PO434">
        <v>0</v>
      </c>
      <c r="PP434">
        <v>0</v>
      </c>
      <c r="PQ434">
        <v>0</v>
      </c>
      <c r="PR434">
        <v>0</v>
      </c>
      <c r="PS434">
        <v>0</v>
      </c>
      <c r="PT434">
        <v>0</v>
      </c>
      <c r="PU434">
        <v>0</v>
      </c>
      <c r="PV434">
        <v>0</v>
      </c>
      <c r="PW434">
        <v>0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0</v>
      </c>
      <c r="QD434">
        <v>0</v>
      </c>
      <c r="QE434">
        <v>0</v>
      </c>
      <c r="QF434">
        <v>0</v>
      </c>
      <c r="QG434">
        <v>0</v>
      </c>
      <c r="QH434">
        <v>0</v>
      </c>
      <c r="QI434">
        <v>0</v>
      </c>
      <c r="QJ434">
        <v>0</v>
      </c>
      <c r="QK434">
        <v>0</v>
      </c>
      <c r="QL434">
        <v>0</v>
      </c>
      <c r="QM434">
        <v>0</v>
      </c>
      <c r="QN434">
        <v>0</v>
      </c>
      <c r="QO434">
        <v>0</v>
      </c>
      <c r="QP434">
        <v>0</v>
      </c>
      <c r="QQ434">
        <v>0</v>
      </c>
      <c r="QR434">
        <v>0</v>
      </c>
      <c r="QS434">
        <v>0</v>
      </c>
      <c r="QT434">
        <v>0</v>
      </c>
      <c r="QU434">
        <v>0</v>
      </c>
      <c r="QV434">
        <v>0</v>
      </c>
      <c r="QW434">
        <v>0</v>
      </c>
      <c r="QX434">
        <v>0</v>
      </c>
      <c r="QY434">
        <v>0</v>
      </c>
    </row>
    <row r="435" spans="2:467" x14ac:dyDescent="0.4">
      <c r="B435" t="str">
        <f>"9784102402610"</f>
        <v>9784102402610</v>
      </c>
      <c r="C435" t="s">
        <v>1829</v>
      </c>
      <c r="D435" t="s">
        <v>1830</v>
      </c>
      <c r="E435" t="s">
        <v>1831</v>
      </c>
      <c r="G435" t="s">
        <v>516</v>
      </c>
      <c r="H435" t="str">
        <f>"0197"</f>
        <v>0197</v>
      </c>
      <c r="I435" t="s">
        <v>481</v>
      </c>
      <c r="J435" t="s">
        <v>487</v>
      </c>
      <c r="K435" t="s">
        <v>564</v>
      </c>
      <c r="L435" s="1">
        <v>44918</v>
      </c>
      <c r="M435">
        <v>1100</v>
      </c>
      <c r="N435" t="str">
        <f>"933"</f>
        <v>933</v>
      </c>
      <c r="P435">
        <v>10</v>
      </c>
      <c r="Q435">
        <v>9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1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2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1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1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1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1</v>
      </c>
      <c r="NF435">
        <v>0</v>
      </c>
      <c r="NG435">
        <v>0</v>
      </c>
      <c r="NH435">
        <v>0</v>
      </c>
      <c r="NI435">
        <v>0</v>
      </c>
      <c r="NJ435">
        <v>0</v>
      </c>
      <c r="NK435">
        <v>0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1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1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  <c r="PB435">
        <v>0</v>
      </c>
      <c r="PC435">
        <v>0</v>
      </c>
      <c r="PD435">
        <v>0</v>
      </c>
      <c r="PE435">
        <v>0</v>
      </c>
      <c r="PF435">
        <v>0</v>
      </c>
      <c r="PG435">
        <v>0</v>
      </c>
      <c r="PH435">
        <v>0</v>
      </c>
      <c r="PI435">
        <v>0</v>
      </c>
      <c r="PJ435">
        <v>0</v>
      </c>
      <c r="PK435">
        <v>0</v>
      </c>
      <c r="PL435">
        <v>0</v>
      </c>
      <c r="PM435">
        <v>0</v>
      </c>
      <c r="PN435">
        <v>0</v>
      </c>
      <c r="PO435">
        <v>0</v>
      </c>
      <c r="PP435">
        <v>0</v>
      </c>
      <c r="PQ435">
        <v>0</v>
      </c>
      <c r="PR435">
        <v>0</v>
      </c>
      <c r="PS435">
        <v>0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</v>
      </c>
      <c r="PZ435">
        <v>0</v>
      </c>
      <c r="QA435">
        <v>0</v>
      </c>
      <c r="QB435">
        <v>1</v>
      </c>
      <c r="QC435">
        <v>0</v>
      </c>
      <c r="QD435">
        <v>0</v>
      </c>
      <c r="QE435">
        <v>0</v>
      </c>
      <c r="QF435">
        <v>0</v>
      </c>
      <c r="QG435">
        <v>0</v>
      </c>
      <c r="QH435">
        <v>0</v>
      </c>
      <c r="QI435">
        <v>0</v>
      </c>
      <c r="QJ435">
        <v>0</v>
      </c>
      <c r="QK435">
        <v>0</v>
      </c>
      <c r="QL435">
        <v>0</v>
      </c>
      <c r="QM435">
        <v>0</v>
      </c>
      <c r="QN435">
        <v>0</v>
      </c>
      <c r="QO435">
        <v>0</v>
      </c>
      <c r="QP435">
        <v>0</v>
      </c>
      <c r="QQ435">
        <v>0</v>
      </c>
      <c r="QR435">
        <v>0</v>
      </c>
      <c r="QS435">
        <v>0</v>
      </c>
      <c r="QT435">
        <v>0</v>
      </c>
      <c r="QU435">
        <v>0</v>
      </c>
      <c r="QV435">
        <v>0</v>
      </c>
      <c r="QW435">
        <v>0</v>
      </c>
      <c r="QX435">
        <v>0</v>
      </c>
      <c r="QY435">
        <v>0</v>
      </c>
    </row>
    <row r="436" spans="2:467" hidden="1" x14ac:dyDescent="0.4">
      <c r="B436" t="str">
        <f>"9784480064707"</f>
        <v>9784480064707</v>
      </c>
      <c r="C436" t="s">
        <v>1128</v>
      </c>
      <c r="D436" t="s">
        <v>1129</v>
      </c>
      <c r="E436">
        <v>766</v>
      </c>
      <c r="G436" t="s">
        <v>501</v>
      </c>
      <c r="H436" t="str">
        <f>"0212"</f>
        <v>0212</v>
      </c>
      <c r="I436" t="s">
        <v>481</v>
      </c>
      <c r="J436" t="s">
        <v>482</v>
      </c>
      <c r="K436" t="s">
        <v>517</v>
      </c>
      <c r="L436" s="1">
        <v>39856</v>
      </c>
      <c r="M436">
        <v>820</v>
      </c>
      <c r="N436" t="str">
        <f>"370.4"</f>
        <v>370.4</v>
      </c>
      <c r="P436">
        <v>17</v>
      </c>
      <c r="Q436">
        <v>8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1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2</v>
      </c>
      <c r="DC436">
        <v>8</v>
      </c>
      <c r="DD436">
        <v>0</v>
      </c>
      <c r="DE436">
        <v>0</v>
      </c>
      <c r="DF436">
        <v>2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1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1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0</v>
      </c>
      <c r="NK436">
        <v>0</v>
      </c>
      <c r="NL436">
        <v>0</v>
      </c>
      <c r="NM436">
        <v>0</v>
      </c>
      <c r="NN436">
        <v>0</v>
      </c>
      <c r="NO436">
        <v>0</v>
      </c>
      <c r="NP436">
        <v>0</v>
      </c>
      <c r="NQ436">
        <v>0</v>
      </c>
      <c r="NR436">
        <v>0</v>
      </c>
      <c r="NS436">
        <v>0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C436">
        <v>0</v>
      </c>
      <c r="OD436">
        <v>0</v>
      </c>
      <c r="OE436">
        <v>0</v>
      </c>
      <c r="OF436">
        <v>0</v>
      </c>
      <c r="OG436">
        <v>0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0</v>
      </c>
      <c r="PJ436">
        <v>0</v>
      </c>
      <c r="PK436">
        <v>0</v>
      </c>
      <c r="PL436">
        <v>0</v>
      </c>
      <c r="PM436">
        <v>0</v>
      </c>
      <c r="PN436">
        <v>0</v>
      </c>
      <c r="PO436">
        <v>0</v>
      </c>
      <c r="PP436">
        <v>0</v>
      </c>
      <c r="PQ436">
        <v>0</v>
      </c>
      <c r="PR436">
        <v>0</v>
      </c>
      <c r="PS436">
        <v>0</v>
      </c>
      <c r="PT436">
        <v>0</v>
      </c>
      <c r="PU436">
        <v>0</v>
      </c>
      <c r="PV436">
        <v>0</v>
      </c>
      <c r="PW436">
        <v>0</v>
      </c>
      <c r="PX436">
        <v>0</v>
      </c>
      <c r="PY436">
        <v>0</v>
      </c>
      <c r="PZ436">
        <v>0</v>
      </c>
      <c r="QA436">
        <v>0</v>
      </c>
      <c r="QB436">
        <v>1</v>
      </c>
      <c r="QC436">
        <v>0</v>
      </c>
      <c r="QD436">
        <v>0</v>
      </c>
      <c r="QE436">
        <v>0</v>
      </c>
      <c r="QF436">
        <v>0</v>
      </c>
      <c r="QG436">
        <v>0</v>
      </c>
      <c r="QH436">
        <v>0</v>
      </c>
      <c r="QI436">
        <v>0</v>
      </c>
      <c r="QJ436">
        <v>0</v>
      </c>
      <c r="QK436">
        <v>0</v>
      </c>
      <c r="QL436">
        <v>0</v>
      </c>
      <c r="QM436">
        <v>0</v>
      </c>
      <c r="QN436">
        <v>0</v>
      </c>
      <c r="QO436">
        <v>0</v>
      </c>
      <c r="QP436">
        <v>1</v>
      </c>
      <c r="QQ436">
        <v>0</v>
      </c>
      <c r="QR436">
        <v>0</v>
      </c>
      <c r="QS436">
        <v>0</v>
      </c>
      <c r="QT436">
        <v>0</v>
      </c>
      <c r="QU436">
        <v>0</v>
      </c>
      <c r="QV436">
        <v>0</v>
      </c>
      <c r="QW436">
        <v>0</v>
      </c>
      <c r="QX436">
        <v>0</v>
      </c>
      <c r="QY436">
        <v>0</v>
      </c>
    </row>
    <row r="437" spans="2:467" hidden="1" x14ac:dyDescent="0.4">
      <c r="B437" t="str">
        <f>"9784004317944"</f>
        <v>9784004317944</v>
      </c>
      <c r="C437" t="s">
        <v>1306</v>
      </c>
      <c r="D437" t="s">
        <v>1307</v>
      </c>
      <c r="E437" t="s">
        <v>1308</v>
      </c>
      <c r="G437" t="s">
        <v>521</v>
      </c>
      <c r="H437" t="str">
        <f>"0231"</f>
        <v>0231</v>
      </c>
      <c r="I437" t="s">
        <v>481</v>
      </c>
      <c r="J437" t="s">
        <v>482</v>
      </c>
      <c r="K437" t="s">
        <v>502</v>
      </c>
      <c r="L437" s="1">
        <v>43729</v>
      </c>
      <c r="M437">
        <v>820</v>
      </c>
      <c r="N437" t="str">
        <f>"311"</f>
        <v>311</v>
      </c>
      <c r="P437">
        <v>14</v>
      </c>
      <c r="Q437">
        <v>8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1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1</v>
      </c>
      <c r="CI437">
        <v>4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1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1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1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4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  <c r="NK437">
        <v>0</v>
      </c>
      <c r="NL437">
        <v>0</v>
      </c>
      <c r="NM437">
        <v>0</v>
      </c>
      <c r="NN437">
        <v>0</v>
      </c>
      <c r="NO437">
        <v>0</v>
      </c>
      <c r="NP437">
        <v>0</v>
      </c>
      <c r="NQ437">
        <v>0</v>
      </c>
      <c r="NR437">
        <v>1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0</v>
      </c>
      <c r="OA437">
        <v>0</v>
      </c>
      <c r="OB437">
        <v>0</v>
      </c>
      <c r="OC437">
        <v>0</v>
      </c>
      <c r="OD437">
        <v>0</v>
      </c>
      <c r="OE437">
        <v>0</v>
      </c>
      <c r="OF437">
        <v>0</v>
      </c>
      <c r="OG437">
        <v>0</v>
      </c>
      <c r="OH437">
        <v>0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0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0</v>
      </c>
      <c r="PJ437">
        <v>0</v>
      </c>
      <c r="PK437">
        <v>0</v>
      </c>
      <c r="PL437">
        <v>0</v>
      </c>
      <c r="PM437">
        <v>0</v>
      </c>
      <c r="PN437">
        <v>0</v>
      </c>
      <c r="PO437">
        <v>0</v>
      </c>
      <c r="PP437">
        <v>0</v>
      </c>
      <c r="PQ437">
        <v>0</v>
      </c>
      <c r="PR437">
        <v>0</v>
      </c>
      <c r="PS437">
        <v>0</v>
      </c>
      <c r="PT437">
        <v>0</v>
      </c>
      <c r="PU437">
        <v>0</v>
      </c>
      <c r="PV437">
        <v>0</v>
      </c>
      <c r="PW437">
        <v>0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</v>
      </c>
      <c r="QG437">
        <v>0</v>
      </c>
      <c r="QH437">
        <v>0</v>
      </c>
      <c r="QI437">
        <v>0</v>
      </c>
      <c r="QJ437">
        <v>0</v>
      </c>
      <c r="QK437">
        <v>0</v>
      </c>
      <c r="QL437">
        <v>0</v>
      </c>
      <c r="QM437">
        <v>0</v>
      </c>
      <c r="QN437">
        <v>0</v>
      </c>
      <c r="QO437">
        <v>0</v>
      </c>
      <c r="QP437">
        <v>0</v>
      </c>
      <c r="QQ437">
        <v>0</v>
      </c>
      <c r="QR437">
        <v>0</v>
      </c>
      <c r="QS437">
        <v>0</v>
      </c>
      <c r="QT437">
        <v>0</v>
      </c>
      <c r="QU437">
        <v>0</v>
      </c>
      <c r="QV437">
        <v>0</v>
      </c>
      <c r="QW437">
        <v>0</v>
      </c>
      <c r="QX437">
        <v>0</v>
      </c>
      <c r="QY437">
        <v>0</v>
      </c>
    </row>
    <row r="438" spans="2:467" hidden="1" x14ac:dyDescent="0.4">
      <c r="B438" t="str">
        <f>"9784121026460"</f>
        <v>9784121026460</v>
      </c>
      <c r="C438" t="s">
        <v>1472</v>
      </c>
      <c r="D438" t="s">
        <v>1473</v>
      </c>
      <c r="E438">
        <v>2646</v>
      </c>
      <c r="G438" t="s">
        <v>540</v>
      </c>
      <c r="H438" t="str">
        <f>"1247"</f>
        <v>1247</v>
      </c>
      <c r="I438" t="s">
        <v>541</v>
      </c>
      <c r="J438" t="s">
        <v>482</v>
      </c>
      <c r="K438" t="s">
        <v>670</v>
      </c>
      <c r="L438" s="1">
        <v>44368</v>
      </c>
      <c r="M438">
        <v>840</v>
      </c>
      <c r="N438" t="str">
        <f>"369"</f>
        <v>369</v>
      </c>
      <c r="P438">
        <v>12</v>
      </c>
      <c r="Q438">
        <v>8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3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1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2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2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1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1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0</v>
      </c>
      <c r="NL438">
        <v>0</v>
      </c>
      <c r="NM438">
        <v>0</v>
      </c>
      <c r="NN438">
        <v>0</v>
      </c>
      <c r="NO438">
        <v>0</v>
      </c>
      <c r="NP438">
        <v>1</v>
      </c>
      <c r="NQ438">
        <v>0</v>
      </c>
      <c r="NR438">
        <v>0</v>
      </c>
      <c r="NS438">
        <v>0</v>
      </c>
      <c r="NT438">
        <v>0</v>
      </c>
      <c r="NU438">
        <v>0</v>
      </c>
      <c r="NV438">
        <v>0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0</v>
      </c>
      <c r="OD438">
        <v>0</v>
      </c>
      <c r="OE438">
        <v>0</v>
      </c>
      <c r="OF438">
        <v>0</v>
      </c>
      <c r="OG438">
        <v>0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1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0</v>
      </c>
      <c r="PM438">
        <v>0</v>
      </c>
      <c r="PN438">
        <v>0</v>
      </c>
      <c r="PO438">
        <v>0</v>
      </c>
      <c r="PP438">
        <v>0</v>
      </c>
      <c r="PQ438">
        <v>0</v>
      </c>
      <c r="PR438">
        <v>0</v>
      </c>
      <c r="PS438">
        <v>0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</v>
      </c>
      <c r="QC438">
        <v>0</v>
      </c>
      <c r="QD438">
        <v>0</v>
      </c>
      <c r="QE438">
        <v>0</v>
      </c>
      <c r="QF438">
        <v>0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</v>
      </c>
      <c r="QM438">
        <v>0</v>
      </c>
      <c r="QN438">
        <v>0</v>
      </c>
      <c r="QO438">
        <v>0</v>
      </c>
      <c r="QP438">
        <v>0</v>
      </c>
      <c r="QQ438">
        <v>0</v>
      </c>
      <c r="QR438">
        <v>0</v>
      </c>
      <c r="QS438">
        <v>0</v>
      </c>
      <c r="QT438">
        <v>0</v>
      </c>
      <c r="QU438">
        <v>0</v>
      </c>
      <c r="QV438">
        <v>0</v>
      </c>
      <c r="QW438">
        <v>0</v>
      </c>
      <c r="QX438">
        <v>0</v>
      </c>
      <c r="QY438">
        <v>0</v>
      </c>
    </row>
    <row r="439" spans="2:467" hidden="1" x14ac:dyDescent="0.4">
      <c r="B439" t="str">
        <f>"9784004319344"</f>
        <v>9784004319344</v>
      </c>
      <c r="C439" t="s">
        <v>1587</v>
      </c>
      <c r="D439" t="s">
        <v>1588</v>
      </c>
      <c r="E439" t="s">
        <v>1589</v>
      </c>
      <c r="G439" t="s">
        <v>521</v>
      </c>
      <c r="H439" t="str">
        <f>"0234"</f>
        <v>0234</v>
      </c>
      <c r="I439" t="s">
        <v>481</v>
      </c>
      <c r="J439" t="s">
        <v>482</v>
      </c>
      <c r="K439" t="s">
        <v>957</v>
      </c>
      <c r="L439" s="1">
        <v>44763</v>
      </c>
      <c r="M439">
        <v>880</v>
      </c>
      <c r="N439" t="str">
        <f>"675"</f>
        <v>675</v>
      </c>
      <c r="P439">
        <v>11</v>
      </c>
      <c r="Q439">
        <v>8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1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3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1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1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1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2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0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1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0</v>
      </c>
      <c r="ON439">
        <v>0</v>
      </c>
      <c r="OO439">
        <v>1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0</v>
      </c>
      <c r="PA439">
        <v>0</v>
      </c>
      <c r="PB439">
        <v>0</v>
      </c>
      <c r="PC439">
        <v>0</v>
      </c>
      <c r="PD439">
        <v>0</v>
      </c>
      <c r="PE439">
        <v>0</v>
      </c>
      <c r="PF439">
        <v>0</v>
      </c>
      <c r="PG439">
        <v>0</v>
      </c>
      <c r="PH439">
        <v>0</v>
      </c>
      <c r="PI439">
        <v>0</v>
      </c>
      <c r="PJ439">
        <v>0</v>
      </c>
      <c r="PK439">
        <v>0</v>
      </c>
      <c r="PL439">
        <v>0</v>
      </c>
      <c r="PM439">
        <v>0</v>
      </c>
      <c r="PN439">
        <v>0</v>
      </c>
      <c r="PO439">
        <v>0</v>
      </c>
      <c r="PP439">
        <v>0</v>
      </c>
      <c r="PQ439">
        <v>0</v>
      </c>
      <c r="PR439">
        <v>0</v>
      </c>
      <c r="PS439">
        <v>0</v>
      </c>
      <c r="PT439">
        <v>0</v>
      </c>
      <c r="PU439">
        <v>0</v>
      </c>
      <c r="PV439">
        <v>0</v>
      </c>
      <c r="PW439">
        <v>0</v>
      </c>
      <c r="PX439">
        <v>0</v>
      </c>
      <c r="PY439">
        <v>0</v>
      </c>
      <c r="PZ439">
        <v>0</v>
      </c>
      <c r="QA439">
        <v>0</v>
      </c>
      <c r="QB439">
        <v>0</v>
      </c>
      <c r="QC439">
        <v>0</v>
      </c>
      <c r="QD439">
        <v>0</v>
      </c>
      <c r="QE439">
        <v>0</v>
      </c>
      <c r="QF439">
        <v>0</v>
      </c>
      <c r="QG439">
        <v>0</v>
      </c>
      <c r="QH439">
        <v>0</v>
      </c>
      <c r="QI439">
        <v>0</v>
      </c>
      <c r="QJ439">
        <v>0</v>
      </c>
      <c r="QK439">
        <v>0</v>
      </c>
      <c r="QL439">
        <v>0</v>
      </c>
      <c r="QM439">
        <v>0</v>
      </c>
      <c r="QN439">
        <v>0</v>
      </c>
      <c r="QO439">
        <v>0</v>
      </c>
      <c r="QP439">
        <v>0</v>
      </c>
      <c r="QQ439">
        <v>0</v>
      </c>
      <c r="QR439">
        <v>0</v>
      </c>
      <c r="QS439">
        <v>0</v>
      </c>
      <c r="QT439">
        <v>0</v>
      </c>
      <c r="QU439">
        <v>0</v>
      </c>
      <c r="QV439">
        <v>0</v>
      </c>
      <c r="QW439">
        <v>0</v>
      </c>
      <c r="QX439">
        <v>0</v>
      </c>
      <c r="QY439">
        <v>0</v>
      </c>
    </row>
    <row r="440" spans="2:467" x14ac:dyDescent="0.4">
      <c r="B440" t="str">
        <f>"9784815613716"</f>
        <v>9784815613716</v>
      </c>
      <c r="C440" t="s">
        <v>1636</v>
      </c>
      <c r="D440" t="s">
        <v>1637</v>
      </c>
      <c r="E440" t="s">
        <v>1638</v>
      </c>
      <c r="G440" t="s">
        <v>666</v>
      </c>
      <c r="H440" t="str">
        <f>"0193"</f>
        <v>0193</v>
      </c>
      <c r="I440" t="s">
        <v>481</v>
      </c>
      <c r="J440" t="s">
        <v>487</v>
      </c>
      <c r="K440" t="s">
        <v>488</v>
      </c>
      <c r="L440" s="1">
        <v>44950</v>
      </c>
      <c r="M440">
        <v>840</v>
      </c>
      <c r="N440" t="str">
        <f>"913.6"</f>
        <v>913.6</v>
      </c>
      <c r="P440">
        <v>11</v>
      </c>
      <c r="Q440">
        <v>8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2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2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1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1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1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2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>
        <v>1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0</v>
      </c>
      <c r="PN440">
        <v>0</v>
      </c>
      <c r="PO440">
        <v>0</v>
      </c>
      <c r="PP440">
        <v>0</v>
      </c>
      <c r="PQ440">
        <v>0</v>
      </c>
      <c r="PR440">
        <v>0</v>
      </c>
      <c r="PS440">
        <v>0</v>
      </c>
      <c r="PT440">
        <v>0</v>
      </c>
      <c r="PU440">
        <v>0</v>
      </c>
      <c r="PV440">
        <v>0</v>
      </c>
      <c r="PW440">
        <v>0</v>
      </c>
      <c r="PX440">
        <v>0</v>
      </c>
      <c r="PY440">
        <v>0</v>
      </c>
      <c r="PZ440">
        <v>0</v>
      </c>
      <c r="QA440">
        <v>0</v>
      </c>
      <c r="QB440">
        <v>0</v>
      </c>
      <c r="QC440">
        <v>0</v>
      </c>
      <c r="QD440">
        <v>0</v>
      </c>
      <c r="QE440">
        <v>0</v>
      </c>
      <c r="QF440">
        <v>0</v>
      </c>
      <c r="QG440">
        <v>0</v>
      </c>
      <c r="QH440">
        <v>0</v>
      </c>
      <c r="QI440">
        <v>0</v>
      </c>
      <c r="QJ440">
        <v>0</v>
      </c>
      <c r="QK440">
        <v>0</v>
      </c>
      <c r="QL440">
        <v>0</v>
      </c>
      <c r="QM440">
        <v>0</v>
      </c>
      <c r="QN440">
        <v>0</v>
      </c>
      <c r="QO440">
        <v>0</v>
      </c>
      <c r="QP440">
        <v>0</v>
      </c>
      <c r="QQ440">
        <v>0</v>
      </c>
      <c r="QR440">
        <v>0</v>
      </c>
      <c r="QS440">
        <v>0</v>
      </c>
      <c r="QT440">
        <v>0</v>
      </c>
      <c r="QU440">
        <v>0</v>
      </c>
      <c r="QV440">
        <v>0</v>
      </c>
      <c r="QW440">
        <v>0</v>
      </c>
      <c r="QX440">
        <v>0</v>
      </c>
      <c r="QY440">
        <v>0</v>
      </c>
    </row>
    <row r="441" spans="2:467" x14ac:dyDescent="0.4">
      <c r="B441" t="str">
        <f>"9784101388816"</f>
        <v>9784101388816</v>
      </c>
      <c r="C441" t="s">
        <v>1647</v>
      </c>
      <c r="D441" t="s">
        <v>496</v>
      </c>
      <c r="E441" t="s">
        <v>1648</v>
      </c>
      <c r="G441" t="s">
        <v>516</v>
      </c>
      <c r="H441" t="str">
        <f>"0193"</f>
        <v>0193</v>
      </c>
      <c r="I441" t="s">
        <v>481</v>
      </c>
      <c r="J441" t="s">
        <v>487</v>
      </c>
      <c r="K441" t="s">
        <v>488</v>
      </c>
      <c r="L441" s="1">
        <v>41153</v>
      </c>
      <c r="M441">
        <v>750</v>
      </c>
      <c r="N441" t="str">
        <f>"913.6"</f>
        <v>913.6</v>
      </c>
      <c r="P441">
        <v>11</v>
      </c>
      <c r="Q441">
        <v>8</v>
      </c>
      <c r="R441">
        <v>0</v>
      </c>
      <c r="S441">
        <v>0</v>
      </c>
      <c r="T441">
        <v>2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1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1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3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1</v>
      </c>
      <c r="KH441">
        <v>0</v>
      </c>
      <c r="KI441">
        <v>0</v>
      </c>
      <c r="KJ441">
        <v>0</v>
      </c>
      <c r="KK441">
        <v>0</v>
      </c>
      <c r="KL441">
        <v>1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1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1</v>
      </c>
      <c r="PF441">
        <v>0</v>
      </c>
      <c r="PG441">
        <v>0</v>
      </c>
      <c r="PH441">
        <v>0</v>
      </c>
      <c r="PI441">
        <v>0</v>
      </c>
      <c r="PJ441">
        <v>0</v>
      </c>
      <c r="PK441">
        <v>0</v>
      </c>
      <c r="PL441">
        <v>0</v>
      </c>
      <c r="PM441">
        <v>0</v>
      </c>
      <c r="PN441">
        <v>0</v>
      </c>
      <c r="PO441">
        <v>0</v>
      </c>
      <c r="PP441">
        <v>0</v>
      </c>
      <c r="PQ441">
        <v>0</v>
      </c>
      <c r="PR441">
        <v>0</v>
      </c>
      <c r="PS441">
        <v>0</v>
      </c>
      <c r="PT441">
        <v>0</v>
      </c>
      <c r="PU441">
        <v>0</v>
      </c>
      <c r="PV441">
        <v>0</v>
      </c>
      <c r="PW441">
        <v>0</v>
      </c>
      <c r="PX441">
        <v>0</v>
      </c>
      <c r="PY441">
        <v>0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</v>
      </c>
      <c r="QQ441">
        <v>0</v>
      </c>
      <c r="QR441">
        <v>0</v>
      </c>
      <c r="QS441">
        <v>0</v>
      </c>
      <c r="QT441">
        <v>0</v>
      </c>
      <c r="QU441">
        <v>0</v>
      </c>
      <c r="QV441">
        <v>0</v>
      </c>
      <c r="QW441">
        <v>0</v>
      </c>
      <c r="QX441">
        <v>0</v>
      </c>
      <c r="QY441">
        <v>0</v>
      </c>
    </row>
    <row r="442" spans="2:467" x14ac:dyDescent="0.4">
      <c r="B442" t="str">
        <f>"9784150701567"</f>
        <v>9784150701567</v>
      </c>
      <c r="C442" t="s">
        <v>1680</v>
      </c>
      <c r="D442" t="s">
        <v>1681</v>
      </c>
      <c r="G442" t="s">
        <v>963</v>
      </c>
      <c r="H442" t="str">
        <f>"0197"</f>
        <v>0197</v>
      </c>
      <c r="I442" t="s">
        <v>481</v>
      </c>
      <c r="J442" t="s">
        <v>487</v>
      </c>
      <c r="K442" t="s">
        <v>564</v>
      </c>
      <c r="L442" s="1">
        <v>44917</v>
      </c>
      <c r="M442">
        <v>1500</v>
      </c>
      <c r="N442" t="str">
        <f>"933"</f>
        <v>933</v>
      </c>
      <c r="P442">
        <v>10</v>
      </c>
      <c r="Q442">
        <v>8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2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1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1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1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1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2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1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0</v>
      </c>
      <c r="NZ442">
        <v>0</v>
      </c>
      <c r="OA442">
        <v>0</v>
      </c>
      <c r="OB442">
        <v>0</v>
      </c>
      <c r="OC442">
        <v>0</v>
      </c>
      <c r="OD442">
        <v>0</v>
      </c>
      <c r="OE442">
        <v>0</v>
      </c>
      <c r="OF442">
        <v>0</v>
      </c>
      <c r="OG442">
        <v>0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0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0</v>
      </c>
      <c r="PN442">
        <v>0</v>
      </c>
      <c r="PO442">
        <v>0</v>
      </c>
      <c r="PP442">
        <v>0</v>
      </c>
      <c r="PQ442">
        <v>0</v>
      </c>
      <c r="PR442">
        <v>0</v>
      </c>
      <c r="PS442">
        <v>0</v>
      </c>
      <c r="PT442">
        <v>0</v>
      </c>
      <c r="PU442">
        <v>0</v>
      </c>
      <c r="PV442">
        <v>0</v>
      </c>
      <c r="PW442">
        <v>0</v>
      </c>
      <c r="PX442">
        <v>0</v>
      </c>
      <c r="PY442">
        <v>0</v>
      </c>
      <c r="PZ442">
        <v>0</v>
      </c>
      <c r="QA442">
        <v>0</v>
      </c>
      <c r="QB442">
        <v>0</v>
      </c>
      <c r="QC442">
        <v>0</v>
      </c>
      <c r="QD442">
        <v>0</v>
      </c>
      <c r="QE442">
        <v>0</v>
      </c>
      <c r="QF442">
        <v>0</v>
      </c>
      <c r="QG442">
        <v>0</v>
      </c>
      <c r="QH442">
        <v>0</v>
      </c>
      <c r="QI442">
        <v>0</v>
      </c>
      <c r="QJ442">
        <v>0</v>
      </c>
      <c r="QK442">
        <v>0</v>
      </c>
      <c r="QL442">
        <v>0</v>
      </c>
      <c r="QM442">
        <v>0</v>
      </c>
      <c r="QN442">
        <v>0</v>
      </c>
      <c r="QO442">
        <v>0</v>
      </c>
      <c r="QP442">
        <v>0</v>
      </c>
      <c r="QQ442">
        <v>0</v>
      </c>
      <c r="QR442">
        <v>0</v>
      </c>
      <c r="QS442">
        <v>0</v>
      </c>
      <c r="QT442">
        <v>0</v>
      </c>
      <c r="QU442">
        <v>0</v>
      </c>
      <c r="QV442">
        <v>0</v>
      </c>
      <c r="QW442">
        <v>0</v>
      </c>
      <c r="QX442">
        <v>0</v>
      </c>
      <c r="QY442">
        <v>0</v>
      </c>
    </row>
    <row r="443" spans="2:467" x14ac:dyDescent="0.4">
      <c r="B443" t="str">
        <f>"9784635049436"</f>
        <v>9784635049436</v>
      </c>
      <c r="C443" t="s">
        <v>1682</v>
      </c>
      <c r="D443" t="s">
        <v>1683</v>
      </c>
      <c r="G443" t="s">
        <v>1684</v>
      </c>
      <c r="H443" t="str">
        <f>"0145"</f>
        <v>0145</v>
      </c>
      <c r="I443" t="s">
        <v>481</v>
      </c>
      <c r="J443" t="s">
        <v>487</v>
      </c>
      <c r="K443" t="s">
        <v>593</v>
      </c>
      <c r="L443" s="1">
        <v>44732</v>
      </c>
      <c r="M443">
        <v>1100</v>
      </c>
      <c r="N443" t="str">
        <f>"613.5"</f>
        <v>613.5</v>
      </c>
      <c r="P443">
        <v>10</v>
      </c>
      <c r="Q443">
        <v>8</v>
      </c>
      <c r="R443">
        <v>0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2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1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2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1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0</v>
      </c>
      <c r="NJ443">
        <v>0</v>
      </c>
      <c r="NK443">
        <v>0</v>
      </c>
      <c r="NL443">
        <v>0</v>
      </c>
      <c r="NM443">
        <v>0</v>
      </c>
      <c r="NN443">
        <v>0</v>
      </c>
      <c r="NO443">
        <v>0</v>
      </c>
      <c r="NP443">
        <v>0</v>
      </c>
      <c r="NQ443">
        <v>0</v>
      </c>
      <c r="NR443">
        <v>0</v>
      </c>
      <c r="NS443">
        <v>0</v>
      </c>
      <c r="NT443">
        <v>0</v>
      </c>
      <c r="NU443">
        <v>0</v>
      </c>
      <c r="NV443">
        <v>0</v>
      </c>
      <c r="NW443">
        <v>0</v>
      </c>
      <c r="NX443">
        <v>0</v>
      </c>
      <c r="NY443">
        <v>1</v>
      </c>
      <c r="NZ443">
        <v>0</v>
      </c>
      <c r="OA443">
        <v>0</v>
      </c>
      <c r="OB443">
        <v>0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1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1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0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0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</v>
      </c>
      <c r="QC443">
        <v>0</v>
      </c>
      <c r="QD443">
        <v>0</v>
      </c>
      <c r="QE443">
        <v>0</v>
      </c>
      <c r="QF443">
        <v>0</v>
      </c>
      <c r="QG443">
        <v>0</v>
      </c>
      <c r="QH443">
        <v>0</v>
      </c>
      <c r="QI443">
        <v>0</v>
      </c>
      <c r="QJ443">
        <v>0</v>
      </c>
      <c r="QK443">
        <v>0</v>
      </c>
      <c r="QL443">
        <v>0</v>
      </c>
      <c r="QM443">
        <v>0</v>
      </c>
      <c r="QN443">
        <v>0</v>
      </c>
      <c r="QO443">
        <v>0</v>
      </c>
      <c r="QP443">
        <v>0</v>
      </c>
      <c r="QQ443">
        <v>0</v>
      </c>
      <c r="QR443">
        <v>0</v>
      </c>
      <c r="QS443">
        <v>0</v>
      </c>
      <c r="QT443">
        <v>0</v>
      </c>
      <c r="QU443">
        <v>0</v>
      </c>
      <c r="QV443">
        <v>0</v>
      </c>
      <c r="QW443">
        <v>0</v>
      </c>
      <c r="QX443">
        <v>0</v>
      </c>
      <c r="QY443">
        <v>0</v>
      </c>
    </row>
    <row r="444" spans="2:467" x14ac:dyDescent="0.4">
      <c r="B444" t="str">
        <f>"9784044006792"</f>
        <v>9784044006792</v>
      </c>
      <c r="C444" t="s">
        <v>1693</v>
      </c>
      <c r="D444" t="s">
        <v>1694</v>
      </c>
      <c r="E444" t="s">
        <v>1695</v>
      </c>
      <c r="G444" t="s">
        <v>597</v>
      </c>
      <c r="H444" t="str">
        <f>"0125"</f>
        <v>0125</v>
      </c>
      <c r="I444" t="s">
        <v>481</v>
      </c>
      <c r="J444" t="s">
        <v>487</v>
      </c>
      <c r="K444" t="s">
        <v>891</v>
      </c>
      <c r="L444" s="1">
        <v>44946</v>
      </c>
      <c r="M444">
        <v>1500</v>
      </c>
      <c r="N444" t="str">
        <f>"291.09"</f>
        <v>291.09</v>
      </c>
      <c r="P444">
        <v>10</v>
      </c>
      <c r="Q444">
        <v>8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1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1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1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1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1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2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  <c r="NK444">
        <v>0</v>
      </c>
      <c r="NL444">
        <v>0</v>
      </c>
      <c r="NM444">
        <v>0</v>
      </c>
      <c r="NN444">
        <v>0</v>
      </c>
      <c r="NO444">
        <v>0</v>
      </c>
      <c r="NP444">
        <v>0</v>
      </c>
      <c r="NQ444">
        <v>0</v>
      </c>
      <c r="NR444">
        <v>0</v>
      </c>
      <c r="NS444">
        <v>0</v>
      </c>
      <c r="NT444">
        <v>0</v>
      </c>
      <c r="NU444">
        <v>0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0</v>
      </c>
      <c r="OJ444">
        <v>0</v>
      </c>
      <c r="OK444">
        <v>2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0</v>
      </c>
      <c r="PE444">
        <v>0</v>
      </c>
      <c r="PF444">
        <v>0</v>
      </c>
      <c r="PG444">
        <v>0</v>
      </c>
      <c r="PH444">
        <v>0</v>
      </c>
      <c r="PI444">
        <v>0</v>
      </c>
      <c r="PJ444">
        <v>0</v>
      </c>
      <c r="PK444">
        <v>1</v>
      </c>
      <c r="PL444">
        <v>0</v>
      </c>
      <c r="PM444">
        <v>0</v>
      </c>
      <c r="PN444">
        <v>0</v>
      </c>
      <c r="PO444">
        <v>0</v>
      </c>
      <c r="PP444">
        <v>0</v>
      </c>
      <c r="PQ444">
        <v>0</v>
      </c>
      <c r="PR444">
        <v>0</v>
      </c>
      <c r="PS444">
        <v>0</v>
      </c>
      <c r="PT444">
        <v>0</v>
      </c>
      <c r="PU444">
        <v>0</v>
      </c>
      <c r="PV444">
        <v>0</v>
      </c>
      <c r="PW444">
        <v>0</v>
      </c>
      <c r="PX444">
        <v>0</v>
      </c>
      <c r="PY444">
        <v>0</v>
      </c>
      <c r="PZ444">
        <v>0</v>
      </c>
      <c r="QA444">
        <v>0</v>
      </c>
      <c r="QB444">
        <v>0</v>
      </c>
      <c r="QC444">
        <v>0</v>
      </c>
      <c r="QD444">
        <v>0</v>
      </c>
      <c r="QE444">
        <v>0</v>
      </c>
      <c r="QF444">
        <v>0</v>
      </c>
      <c r="QG444">
        <v>0</v>
      </c>
      <c r="QH444">
        <v>0</v>
      </c>
      <c r="QI444">
        <v>0</v>
      </c>
      <c r="QJ444">
        <v>0</v>
      </c>
      <c r="QK444">
        <v>0</v>
      </c>
      <c r="QL444">
        <v>0</v>
      </c>
      <c r="QM444">
        <v>0</v>
      </c>
      <c r="QN444">
        <v>0</v>
      </c>
      <c r="QO444">
        <v>0</v>
      </c>
      <c r="QP444">
        <v>0</v>
      </c>
      <c r="QQ444">
        <v>0</v>
      </c>
      <c r="QR444">
        <v>0</v>
      </c>
      <c r="QS444">
        <v>0</v>
      </c>
      <c r="QT444">
        <v>0</v>
      </c>
      <c r="QU444">
        <v>0</v>
      </c>
      <c r="QV444">
        <v>0</v>
      </c>
      <c r="QW444">
        <v>0</v>
      </c>
      <c r="QX444">
        <v>0</v>
      </c>
      <c r="QY444">
        <v>0</v>
      </c>
    </row>
    <row r="445" spans="2:467" hidden="1" x14ac:dyDescent="0.4">
      <c r="B445" t="str">
        <f>"9784480075161"</f>
        <v>9784480075161</v>
      </c>
      <c r="C445" t="s">
        <v>1705</v>
      </c>
      <c r="D445" t="s">
        <v>1706</v>
      </c>
      <c r="E445">
        <v>1692</v>
      </c>
      <c r="G445" t="s">
        <v>501</v>
      </c>
      <c r="H445" t="str">
        <f>"0222"</f>
        <v>0222</v>
      </c>
      <c r="I445" t="s">
        <v>481</v>
      </c>
      <c r="J445" t="s">
        <v>482</v>
      </c>
      <c r="K445" t="s">
        <v>579</v>
      </c>
      <c r="L445" s="1">
        <v>44875</v>
      </c>
      <c r="M445">
        <v>880</v>
      </c>
      <c r="N445" t="str">
        <f>"230"</f>
        <v>230</v>
      </c>
      <c r="P445">
        <v>10</v>
      </c>
      <c r="Q445">
        <v>8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1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1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1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3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1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0</v>
      </c>
      <c r="NA445">
        <v>0</v>
      </c>
      <c r="NB445">
        <v>0</v>
      </c>
      <c r="NC445">
        <v>0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0</v>
      </c>
      <c r="NL445">
        <v>0</v>
      </c>
      <c r="NM445">
        <v>0</v>
      </c>
      <c r="NN445">
        <v>0</v>
      </c>
      <c r="NO445">
        <v>0</v>
      </c>
      <c r="NP445">
        <v>0</v>
      </c>
      <c r="NQ445">
        <v>0</v>
      </c>
      <c r="NR445">
        <v>0</v>
      </c>
      <c r="NS445">
        <v>0</v>
      </c>
      <c r="NT445">
        <v>0</v>
      </c>
      <c r="NU445">
        <v>0</v>
      </c>
      <c r="NV445">
        <v>0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0</v>
      </c>
      <c r="OG445">
        <v>1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0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1</v>
      </c>
      <c r="PA445">
        <v>0</v>
      </c>
      <c r="PB445">
        <v>0</v>
      </c>
      <c r="PC445">
        <v>0</v>
      </c>
      <c r="PD445">
        <v>0</v>
      </c>
      <c r="PE445">
        <v>0</v>
      </c>
      <c r="PF445">
        <v>0</v>
      </c>
      <c r="PG445">
        <v>0</v>
      </c>
      <c r="PH445">
        <v>0</v>
      </c>
      <c r="PI445">
        <v>0</v>
      </c>
      <c r="PJ445">
        <v>0</v>
      </c>
      <c r="PK445">
        <v>0</v>
      </c>
      <c r="PL445">
        <v>0</v>
      </c>
      <c r="PM445">
        <v>0</v>
      </c>
      <c r="PN445">
        <v>0</v>
      </c>
      <c r="PO445">
        <v>0</v>
      </c>
      <c r="PP445">
        <v>0</v>
      </c>
      <c r="PQ445">
        <v>0</v>
      </c>
      <c r="PR445">
        <v>0</v>
      </c>
      <c r="PS445">
        <v>0</v>
      </c>
      <c r="PT445">
        <v>0</v>
      </c>
      <c r="PU445">
        <v>0</v>
      </c>
      <c r="PV445">
        <v>0</v>
      </c>
      <c r="PW445">
        <v>0</v>
      </c>
      <c r="PX445">
        <v>0</v>
      </c>
      <c r="PY445">
        <v>0</v>
      </c>
      <c r="PZ445">
        <v>0</v>
      </c>
      <c r="QA445">
        <v>1</v>
      </c>
      <c r="QB445">
        <v>0</v>
      </c>
      <c r="QC445">
        <v>0</v>
      </c>
      <c r="QD445">
        <v>0</v>
      </c>
      <c r="QE445">
        <v>0</v>
      </c>
      <c r="QF445">
        <v>0</v>
      </c>
      <c r="QG445">
        <v>0</v>
      </c>
      <c r="QH445">
        <v>0</v>
      </c>
      <c r="QI445">
        <v>0</v>
      </c>
      <c r="QJ445">
        <v>0</v>
      </c>
      <c r="QK445">
        <v>0</v>
      </c>
      <c r="QL445">
        <v>0</v>
      </c>
      <c r="QM445">
        <v>0</v>
      </c>
      <c r="QN445">
        <v>0</v>
      </c>
      <c r="QO445">
        <v>0</v>
      </c>
      <c r="QP445">
        <v>0</v>
      </c>
      <c r="QQ445">
        <v>0</v>
      </c>
      <c r="QR445">
        <v>0</v>
      </c>
      <c r="QS445">
        <v>0</v>
      </c>
      <c r="QT445">
        <v>0</v>
      </c>
      <c r="QU445">
        <v>0</v>
      </c>
      <c r="QV445">
        <v>0</v>
      </c>
      <c r="QW445">
        <v>0</v>
      </c>
      <c r="QX445">
        <v>0</v>
      </c>
      <c r="QY445">
        <v>0</v>
      </c>
    </row>
    <row r="446" spans="2:467" x14ac:dyDescent="0.4">
      <c r="B446" t="str">
        <f>"9784003361559"</f>
        <v>9784003361559</v>
      </c>
      <c r="C446" t="s">
        <v>1714</v>
      </c>
      <c r="D446" t="s">
        <v>1715</v>
      </c>
      <c r="E446" t="s">
        <v>1716</v>
      </c>
      <c r="G446" t="s">
        <v>521</v>
      </c>
      <c r="H446" t="str">
        <f>"0110"</f>
        <v>0110</v>
      </c>
      <c r="I446" t="s">
        <v>481</v>
      </c>
      <c r="J446" t="s">
        <v>487</v>
      </c>
      <c r="K446" t="s">
        <v>483</v>
      </c>
      <c r="L446" s="1">
        <v>40886</v>
      </c>
      <c r="M446">
        <v>720</v>
      </c>
      <c r="N446" t="str">
        <f>"135.2"</f>
        <v>135.2</v>
      </c>
      <c r="P446">
        <v>10</v>
      </c>
      <c r="Q446">
        <v>8</v>
      </c>
      <c r="R446">
        <v>0</v>
      </c>
      <c r="S446">
        <v>1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2</v>
      </c>
      <c r="CI446">
        <v>1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1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1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1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1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2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  <c r="NK446">
        <v>0</v>
      </c>
      <c r="NL446">
        <v>0</v>
      </c>
      <c r="NM446">
        <v>0</v>
      </c>
      <c r="NN446">
        <v>0</v>
      </c>
      <c r="NO446">
        <v>0</v>
      </c>
      <c r="NP446">
        <v>0</v>
      </c>
      <c r="NQ446">
        <v>0</v>
      </c>
      <c r="NR446">
        <v>0</v>
      </c>
      <c r="NS446">
        <v>0</v>
      </c>
      <c r="NT446">
        <v>0</v>
      </c>
      <c r="NU446">
        <v>0</v>
      </c>
      <c r="NV446">
        <v>0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C446">
        <v>0</v>
      </c>
      <c r="OD446">
        <v>0</v>
      </c>
      <c r="OE446">
        <v>0</v>
      </c>
      <c r="OF446">
        <v>0</v>
      </c>
      <c r="OG446">
        <v>0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</v>
      </c>
      <c r="PQ446">
        <v>0</v>
      </c>
      <c r="PR446">
        <v>0</v>
      </c>
      <c r="PS446">
        <v>0</v>
      </c>
      <c r="PT446">
        <v>0</v>
      </c>
      <c r="PU446">
        <v>0</v>
      </c>
      <c r="PV446">
        <v>0</v>
      </c>
      <c r="PW446">
        <v>0</v>
      </c>
      <c r="PX446">
        <v>0</v>
      </c>
      <c r="PY446">
        <v>0</v>
      </c>
      <c r="PZ446">
        <v>0</v>
      </c>
      <c r="QA446">
        <v>0</v>
      </c>
      <c r="QB446">
        <v>0</v>
      </c>
      <c r="QC446">
        <v>0</v>
      </c>
      <c r="QD446">
        <v>0</v>
      </c>
      <c r="QE446">
        <v>0</v>
      </c>
      <c r="QF446">
        <v>0</v>
      </c>
      <c r="QG446">
        <v>0</v>
      </c>
      <c r="QH446">
        <v>0</v>
      </c>
      <c r="QI446">
        <v>0</v>
      </c>
      <c r="QJ446">
        <v>0</v>
      </c>
      <c r="QK446">
        <v>0</v>
      </c>
      <c r="QL446">
        <v>0</v>
      </c>
      <c r="QM446">
        <v>0</v>
      </c>
      <c r="QN446">
        <v>0</v>
      </c>
      <c r="QO446">
        <v>0</v>
      </c>
      <c r="QP446">
        <v>0</v>
      </c>
      <c r="QQ446">
        <v>0</v>
      </c>
      <c r="QR446">
        <v>0</v>
      </c>
      <c r="QS446">
        <v>0</v>
      </c>
      <c r="QT446">
        <v>0</v>
      </c>
      <c r="QU446">
        <v>0</v>
      </c>
      <c r="QV446">
        <v>0</v>
      </c>
      <c r="QW446">
        <v>0</v>
      </c>
      <c r="QX446">
        <v>0</v>
      </c>
      <c r="QY446">
        <v>0</v>
      </c>
    </row>
    <row r="447" spans="2:467" hidden="1" x14ac:dyDescent="0.4">
      <c r="B447" t="str">
        <f>"9784004318743"</f>
        <v>9784004318743</v>
      </c>
      <c r="C447" t="s">
        <v>1728</v>
      </c>
      <c r="D447" t="s">
        <v>1729</v>
      </c>
      <c r="E447" t="s">
        <v>1730</v>
      </c>
      <c r="G447" t="s">
        <v>521</v>
      </c>
      <c r="H447" t="str">
        <f>"0236"</f>
        <v>0236</v>
      </c>
      <c r="I447" t="s">
        <v>481</v>
      </c>
      <c r="J447" t="s">
        <v>482</v>
      </c>
      <c r="K447" t="s">
        <v>505</v>
      </c>
      <c r="L447" s="1">
        <v>44307</v>
      </c>
      <c r="M447">
        <v>900</v>
      </c>
      <c r="N447" t="str">
        <f>"377.21"</f>
        <v>377.21</v>
      </c>
      <c r="P447">
        <v>10</v>
      </c>
      <c r="Q447">
        <v>8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2</v>
      </c>
      <c r="CI447">
        <v>1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1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1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1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1</v>
      </c>
      <c r="JG447">
        <v>0</v>
      </c>
      <c r="JH447">
        <v>0</v>
      </c>
      <c r="JI447">
        <v>0</v>
      </c>
      <c r="JJ447">
        <v>2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1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  <c r="NK447">
        <v>0</v>
      </c>
      <c r="NL447">
        <v>0</v>
      </c>
      <c r="NM447">
        <v>0</v>
      </c>
      <c r="NN447">
        <v>0</v>
      </c>
      <c r="NO447">
        <v>0</v>
      </c>
      <c r="NP447">
        <v>0</v>
      </c>
      <c r="NQ447">
        <v>0</v>
      </c>
      <c r="NR447">
        <v>0</v>
      </c>
      <c r="NS447">
        <v>0</v>
      </c>
      <c r="NT447">
        <v>0</v>
      </c>
      <c r="NU447">
        <v>0</v>
      </c>
      <c r="NV447">
        <v>0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0</v>
      </c>
      <c r="PL447">
        <v>0</v>
      </c>
      <c r="PM447">
        <v>0</v>
      </c>
      <c r="PN447">
        <v>0</v>
      </c>
      <c r="PO447">
        <v>0</v>
      </c>
      <c r="PP447">
        <v>0</v>
      </c>
      <c r="PQ447">
        <v>0</v>
      </c>
      <c r="PR447">
        <v>0</v>
      </c>
      <c r="PS447">
        <v>0</v>
      </c>
      <c r="PT447">
        <v>0</v>
      </c>
      <c r="PU447">
        <v>0</v>
      </c>
      <c r="PV447">
        <v>0</v>
      </c>
      <c r="PW447">
        <v>0</v>
      </c>
      <c r="PX447">
        <v>0</v>
      </c>
      <c r="PY447">
        <v>0</v>
      </c>
      <c r="PZ447">
        <v>0</v>
      </c>
      <c r="QA447">
        <v>0</v>
      </c>
      <c r="QB447">
        <v>0</v>
      </c>
      <c r="QC447">
        <v>0</v>
      </c>
      <c r="QD447">
        <v>0</v>
      </c>
      <c r="QE447">
        <v>0</v>
      </c>
      <c r="QF447">
        <v>0</v>
      </c>
      <c r="QG447">
        <v>0</v>
      </c>
      <c r="QH447">
        <v>0</v>
      </c>
      <c r="QI447">
        <v>0</v>
      </c>
      <c r="QJ447">
        <v>0</v>
      </c>
      <c r="QK447">
        <v>0</v>
      </c>
      <c r="QL447">
        <v>0</v>
      </c>
      <c r="QM447">
        <v>0</v>
      </c>
      <c r="QN447">
        <v>0</v>
      </c>
      <c r="QO447">
        <v>0</v>
      </c>
      <c r="QP447">
        <v>0</v>
      </c>
      <c r="QQ447">
        <v>0</v>
      </c>
      <c r="QR447">
        <v>0</v>
      </c>
      <c r="QS447">
        <v>0</v>
      </c>
      <c r="QT447">
        <v>0</v>
      </c>
      <c r="QU447">
        <v>0</v>
      </c>
      <c r="QV447">
        <v>0</v>
      </c>
      <c r="QW447">
        <v>0</v>
      </c>
      <c r="QX447">
        <v>0</v>
      </c>
      <c r="QY447">
        <v>0</v>
      </c>
    </row>
    <row r="448" spans="2:467" hidden="1" x14ac:dyDescent="0.4">
      <c r="B448" t="str">
        <f>"9784815614607"</f>
        <v>9784815614607</v>
      </c>
      <c r="C448" t="s">
        <v>1741</v>
      </c>
      <c r="D448" t="s">
        <v>1742</v>
      </c>
      <c r="E448">
        <v>601</v>
      </c>
      <c r="G448" t="s">
        <v>666</v>
      </c>
      <c r="H448" t="str">
        <f>"0295"</f>
        <v>0295</v>
      </c>
      <c r="I448" t="s">
        <v>481</v>
      </c>
      <c r="J448" t="s">
        <v>482</v>
      </c>
      <c r="K448" t="s">
        <v>509</v>
      </c>
      <c r="L448" s="1">
        <v>44902</v>
      </c>
      <c r="M448">
        <v>900</v>
      </c>
      <c r="N448" t="str">
        <f>"302.53"</f>
        <v>302.53</v>
      </c>
      <c r="P448">
        <v>10</v>
      </c>
      <c r="Q448">
        <v>8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1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1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1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1</v>
      </c>
      <c r="ND448">
        <v>0</v>
      </c>
      <c r="NE448">
        <v>3</v>
      </c>
      <c r="NF448">
        <v>0</v>
      </c>
      <c r="NG448">
        <v>0</v>
      </c>
      <c r="NH448">
        <v>0</v>
      </c>
      <c r="NI448">
        <v>0</v>
      </c>
      <c r="NJ448">
        <v>0</v>
      </c>
      <c r="NK448">
        <v>0</v>
      </c>
      <c r="NL448">
        <v>0</v>
      </c>
      <c r="NM448">
        <v>0</v>
      </c>
      <c r="NN448">
        <v>0</v>
      </c>
      <c r="NO448">
        <v>0</v>
      </c>
      <c r="NP448">
        <v>0</v>
      </c>
      <c r="NQ448">
        <v>0</v>
      </c>
      <c r="NR448">
        <v>0</v>
      </c>
      <c r="NS448">
        <v>0</v>
      </c>
      <c r="NT448">
        <v>0</v>
      </c>
      <c r="NU448">
        <v>0</v>
      </c>
      <c r="NV448">
        <v>0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C448">
        <v>0</v>
      </c>
      <c r="OD448">
        <v>0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1</v>
      </c>
      <c r="OT448">
        <v>1</v>
      </c>
      <c r="OU448">
        <v>0</v>
      </c>
      <c r="OV448">
        <v>0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0</v>
      </c>
      <c r="PM448">
        <v>0</v>
      </c>
      <c r="PN448">
        <v>0</v>
      </c>
      <c r="PO448">
        <v>0</v>
      </c>
      <c r="PP448">
        <v>0</v>
      </c>
      <c r="PQ448">
        <v>0</v>
      </c>
      <c r="PR448">
        <v>0</v>
      </c>
      <c r="PS448">
        <v>0</v>
      </c>
      <c r="PT448">
        <v>1</v>
      </c>
      <c r="PU448">
        <v>0</v>
      </c>
      <c r="PV448">
        <v>0</v>
      </c>
      <c r="PW448">
        <v>0</v>
      </c>
      <c r="PX448">
        <v>0</v>
      </c>
      <c r="PY448">
        <v>0</v>
      </c>
      <c r="PZ448">
        <v>0</v>
      </c>
      <c r="QA448">
        <v>0</v>
      </c>
      <c r="QB448">
        <v>0</v>
      </c>
      <c r="QC448">
        <v>0</v>
      </c>
      <c r="QD448">
        <v>0</v>
      </c>
      <c r="QE448">
        <v>0</v>
      </c>
      <c r="QF448">
        <v>0</v>
      </c>
      <c r="QG448">
        <v>0</v>
      </c>
      <c r="QH448">
        <v>0</v>
      </c>
      <c r="QI448">
        <v>0</v>
      </c>
      <c r="QJ448">
        <v>0</v>
      </c>
      <c r="QK448">
        <v>0</v>
      </c>
      <c r="QL448">
        <v>0</v>
      </c>
      <c r="QM448">
        <v>0</v>
      </c>
      <c r="QN448">
        <v>0</v>
      </c>
      <c r="QO448">
        <v>0</v>
      </c>
      <c r="QP448">
        <v>0</v>
      </c>
      <c r="QQ448">
        <v>0</v>
      </c>
      <c r="QR448">
        <v>0</v>
      </c>
      <c r="QS448">
        <v>0</v>
      </c>
      <c r="QT448">
        <v>0</v>
      </c>
      <c r="QU448">
        <v>0</v>
      </c>
      <c r="QV448">
        <v>0</v>
      </c>
      <c r="QW448">
        <v>0</v>
      </c>
      <c r="QX448">
        <v>0</v>
      </c>
      <c r="QY448">
        <v>0</v>
      </c>
    </row>
    <row r="449" spans="2:467" x14ac:dyDescent="0.4">
      <c r="B449" t="str">
        <f>"9784062923682"</f>
        <v>9784062923682</v>
      </c>
      <c r="C449" t="s">
        <v>1743</v>
      </c>
      <c r="D449" t="s">
        <v>1744</v>
      </c>
      <c r="E449">
        <v>2368</v>
      </c>
      <c r="G449" t="s">
        <v>548</v>
      </c>
      <c r="H449" t="str">
        <f>"0110"</f>
        <v>0110</v>
      </c>
      <c r="I449" t="s">
        <v>481</v>
      </c>
      <c r="J449" t="s">
        <v>487</v>
      </c>
      <c r="K449" t="s">
        <v>483</v>
      </c>
      <c r="L449" s="1">
        <v>42532</v>
      </c>
      <c r="M449">
        <v>600</v>
      </c>
      <c r="N449" t="str">
        <f>"391.1"</f>
        <v>391.1</v>
      </c>
      <c r="P449">
        <v>10</v>
      </c>
      <c r="Q449">
        <v>8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1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1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2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1</v>
      </c>
      <c r="JG449">
        <v>0</v>
      </c>
      <c r="JH449">
        <v>0</v>
      </c>
      <c r="JI449">
        <v>0</v>
      </c>
      <c r="JJ449">
        <v>2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  <c r="NK449">
        <v>0</v>
      </c>
      <c r="NL449">
        <v>0</v>
      </c>
      <c r="NM449">
        <v>0</v>
      </c>
      <c r="NN449">
        <v>0</v>
      </c>
      <c r="NO449">
        <v>0</v>
      </c>
      <c r="NP449">
        <v>0</v>
      </c>
      <c r="NQ449">
        <v>0</v>
      </c>
      <c r="NR449">
        <v>0</v>
      </c>
      <c r="NS449">
        <v>0</v>
      </c>
      <c r="NT449">
        <v>0</v>
      </c>
      <c r="NU449">
        <v>0</v>
      </c>
      <c r="NV449">
        <v>0</v>
      </c>
      <c r="NW449">
        <v>0</v>
      </c>
      <c r="NX449">
        <v>0</v>
      </c>
      <c r="NY449">
        <v>1</v>
      </c>
      <c r="NZ449">
        <v>0</v>
      </c>
      <c r="OA449">
        <v>0</v>
      </c>
      <c r="OB449">
        <v>0</v>
      </c>
      <c r="OC449">
        <v>0</v>
      </c>
      <c r="OD449">
        <v>0</v>
      </c>
      <c r="OE449">
        <v>0</v>
      </c>
      <c r="OF449">
        <v>0</v>
      </c>
      <c r="OG449">
        <v>0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0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</v>
      </c>
      <c r="PQ449">
        <v>0</v>
      </c>
      <c r="PR449">
        <v>0</v>
      </c>
      <c r="PS449">
        <v>0</v>
      </c>
      <c r="PT449">
        <v>0</v>
      </c>
      <c r="PU449">
        <v>0</v>
      </c>
      <c r="PV449">
        <v>0</v>
      </c>
      <c r="PW449">
        <v>0</v>
      </c>
      <c r="PX449">
        <v>0</v>
      </c>
      <c r="PY449">
        <v>0</v>
      </c>
      <c r="PZ449">
        <v>0</v>
      </c>
      <c r="QA449">
        <v>0</v>
      </c>
      <c r="QB449">
        <v>0</v>
      </c>
      <c r="QC449">
        <v>0</v>
      </c>
      <c r="QD449">
        <v>0</v>
      </c>
      <c r="QE449">
        <v>0</v>
      </c>
      <c r="QF449">
        <v>0</v>
      </c>
      <c r="QG449">
        <v>0</v>
      </c>
      <c r="QH449">
        <v>0</v>
      </c>
      <c r="QI449">
        <v>0</v>
      </c>
      <c r="QJ449">
        <v>0</v>
      </c>
      <c r="QK449">
        <v>1</v>
      </c>
      <c r="QL449">
        <v>0</v>
      </c>
      <c r="QM449">
        <v>0</v>
      </c>
      <c r="QN449">
        <v>0</v>
      </c>
      <c r="QO449">
        <v>0</v>
      </c>
      <c r="QP449">
        <v>0</v>
      </c>
      <c r="QQ449">
        <v>0</v>
      </c>
      <c r="QR449">
        <v>0</v>
      </c>
      <c r="QS449">
        <v>0</v>
      </c>
      <c r="QT449">
        <v>0</v>
      </c>
      <c r="QU449">
        <v>0</v>
      </c>
      <c r="QV449">
        <v>0</v>
      </c>
      <c r="QW449">
        <v>0</v>
      </c>
      <c r="QX449">
        <v>0</v>
      </c>
      <c r="QY449">
        <v>0</v>
      </c>
    </row>
    <row r="450" spans="2:467" x14ac:dyDescent="0.4">
      <c r="B450" t="str">
        <f>"9784591174869"</f>
        <v>9784591174869</v>
      </c>
      <c r="C450" t="s">
        <v>1745</v>
      </c>
      <c r="D450" t="s">
        <v>1746</v>
      </c>
      <c r="E450" t="s">
        <v>1747</v>
      </c>
      <c r="G450" t="s">
        <v>572</v>
      </c>
      <c r="H450" t="str">
        <f>"0193"</f>
        <v>0193</v>
      </c>
      <c r="I450" t="s">
        <v>481</v>
      </c>
      <c r="J450" t="s">
        <v>487</v>
      </c>
      <c r="K450" t="s">
        <v>488</v>
      </c>
      <c r="L450" s="1">
        <v>44813</v>
      </c>
      <c r="M450">
        <v>780</v>
      </c>
      <c r="N450" t="str">
        <f>"913.6"</f>
        <v>913.6</v>
      </c>
      <c r="P450">
        <v>10</v>
      </c>
      <c r="Q450">
        <v>8</v>
      </c>
      <c r="R450">
        <v>0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1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2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1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1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1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2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1</v>
      </c>
      <c r="NA450">
        <v>0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  <c r="NK450">
        <v>0</v>
      </c>
      <c r="NL450">
        <v>0</v>
      </c>
      <c r="NM450">
        <v>0</v>
      </c>
      <c r="NN450">
        <v>0</v>
      </c>
      <c r="NO450">
        <v>0</v>
      </c>
      <c r="NP450">
        <v>0</v>
      </c>
      <c r="NQ450">
        <v>0</v>
      </c>
      <c r="NR450">
        <v>0</v>
      </c>
      <c r="NS450">
        <v>0</v>
      </c>
      <c r="NT450">
        <v>0</v>
      </c>
      <c r="NU450">
        <v>0</v>
      </c>
      <c r="NV450">
        <v>0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C450">
        <v>0</v>
      </c>
      <c r="OD450">
        <v>0</v>
      </c>
      <c r="OE450">
        <v>0</v>
      </c>
      <c r="OF450">
        <v>0</v>
      </c>
      <c r="OG450">
        <v>0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0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0</v>
      </c>
      <c r="PB450">
        <v>0</v>
      </c>
      <c r="PC450">
        <v>0</v>
      </c>
      <c r="PD450">
        <v>0</v>
      </c>
      <c r="PE450">
        <v>0</v>
      </c>
      <c r="PF450">
        <v>0</v>
      </c>
      <c r="PG450">
        <v>0</v>
      </c>
      <c r="PH450">
        <v>0</v>
      </c>
      <c r="PI450">
        <v>0</v>
      </c>
      <c r="PJ450">
        <v>0</v>
      </c>
      <c r="PK450">
        <v>0</v>
      </c>
      <c r="PL450">
        <v>0</v>
      </c>
      <c r="PM450">
        <v>0</v>
      </c>
      <c r="PN450">
        <v>0</v>
      </c>
      <c r="PO450">
        <v>0</v>
      </c>
      <c r="PP450">
        <v>0</v>
      </c>
      <c r="PQ450">
        <v>0</v>
      </c>
      <c r="PR450">
        <v>0</v>
      </c>
      <c r="PS450">
        <v>0</v>
      </c>
      <c r="PT450">
        <v>0</v>
      </c>
      <c r="PU450">
        <v>0</v>
      </c>
      <c r="PV450">
        <v>0</v>
      </c>
      <c r="PW450">
        <v>0</v>
      </c>
      <c r="PX450">
        <v>0</v>
      </c>
      <c r="PY450">
        <v>0</v>
      </c>
      <c r="PZ450">
        <v>0</v>
      </c>
      <c r="QA450">
        <v>0</v>
      </c>
      <c r="QB450">
        <v>0</v>
      </c>
      <c r="QC450">
        <v>0</v>
      </c>
      <c r="QD450">
        <v>0</v>
      </c>
      <c r="QE450">
        <v>0</v>
      </c>
      <c r="QF450">
        <v>0</v>
      </c>
      <c r="QG450">
        <v>0</v>
      </c>
      <c r="QH450">
        <v>0</v>
      </c>
      <c r="QI450">
        <v>0</v>
      </c>
      <c r="QJ450">
        <v>0</v>
      </c>
      <c r="QK450">
        <v>0</v>
      </c>
      <c r="QL450">
        <v>0</v>
      </c>
      <c r="QM450">
        <v>0</v>
      </c>
      <c r="QN450">
        <v>0</v>
      </c>
      <c r="QO450">
        <v>0</v>
      </c>
      <c r="QP450">
        <v>0</v>
      </c>
      <c r="QQ450">
        <v>0</v>
      </c>
      <c r="QR450">
        <v>0</v>
      </c>
      <c r="QS450">
        <v>0</v>
      </c>
      <c r="QT450">
        <v>0</v>
      </c>
      <c r="QU450">
        <v>0</v>
      </c>
      <c r="QV450">
        <v>0</v>
      </c>
      <c r="QW450">
        <v>0</v>
      </c>
      <c r="QX450">
        <v>0</v>
      </c>
      <c r="QY450">
        <v>0</v>
      </c>
    </row>
    <row r="451" spans="2:467" hidden="1" x14ac:dyDescent="0.4">
      <c r="B451" t="str">
        <f>"9784569851846"</f>
        <v>9784569851846</v>
      </c>
      <c r="C451" t="s">
        <v>1753</v>
      </c>
      <c r="D451" t="s">
        <v>1754</v>
      </c>
      <c r="E451">
        <v>446</v>
      </c>
      <c r="G451" t="s">
        <v>717</v>
      </c>
      <c r="H451" t="str">
        <f>"1234"</f>
        <v>1234</v>
      </c>
      <c r="I451" t="s">
        <v>541</v>
      </c>
      <c r="J451" t="s">
        <v>482</v>
      </c>
      <c r="K451" t="s">
        <v>957</v>
      </c>
      <c r="L451" s="1">
        <v>44802</v>
      </c>
      <c r="M451">
        <v>1050</v>
      </c>
      <c r="N451" t="str">
        <f>"809.6"</f>
        <v>809.6</v>
      </c>
      <c r="P451">
        <v>10</v>
      </c>
      <c r="Q451">
        <v>8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1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1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1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1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2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2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  <c r="NK451">
        <v>0</v>
      </c>
      <c r="NL451">
        <v>0</v>
      </c>
      <c r="NM451">
        <v>0</v>
      </c>
      <c r="NN451">
        <v>0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1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</row>
    <row r="452" spans="2:467" hidden="1" x14ac:dyDescent="0.4">
      <c r="B452" t="str">
        <f>"9784532114480"</f>
        <v>9784532114480</v>
      </c>
      <c r="C452" t="s">
        <v>1785</v>
      </c>
      <c r="D452" t="s">
        <v>1786</v>
      </c>
      <c r="E452">
        <v>1448</v>
      </c>
      <c r="G452" t="s">
        <v>987</v>
      </c>
      <c r="H452" t="str">
        <f>"1234"</f>
        <v>1234</v>
      </c>
      <c r="I452" t="s">
        <v>541</v>
      </c>
      <c r="J452" t="s">
        <v>482</v>
      </c>
      <c r="K452" t="s">
        <v>957</v>
      </c>
      <c r="L452" s="1">
        <v>44642</v>
      </c>
      <c r="M452">
        <v>900</v>
      </c>
      <c r="N452" t="str">
        <f>"361"</f>
        <v>361</v>
      </c>
      <c r="P452">
        <v>10</v>
      </c>
      <c r="Q452">
        <v>8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1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1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1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1</v>
      </c>
      <c r="JG452">
        <v>3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1</v>
      </c>
      <c r="LW452">
        <v>0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1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0</v>
      </c>
      <c r="NL452">
        <v>0</v>
      </c>
      <c r="NM452">
        <v>0</v>
      </c>
      <c r="NN452">
        <v>0</v>
      </c>
      <c r="NO452">
        <v>0</v>
      </c>
      <c r="NP452">
        <v>0</v>
      </c>
      <c r="NQ452">
        <v>0</v>
      </c>
      <c r="NR452">
        <v>0</v>
      </c>
      <c r="NS452">
        <v>0</v>
      </c>
      <c r="NT452">
        <v>0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C452">
        <v>0</v>
      </c>
      <c r="OD452">
        <v>0</v>
      </c>
      <c r="OE452">
        <v>0</v>
      </c>
      <c r="OF452">
        <v>0</v>
      </c>
      <c r="OG452">
        <v>0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  <c r="PB452">
        <v>0</v>
      </c>
      <c r="PC452">
        <v>0</v>
      </c>
      <c r="PD452">
        <v>0</v>
      </c>
      <c r="PE452">
        <v>0</v>
      </c>
      <c r="PF452">
        <v>0</v>
      </c>
      <c r="PG452">
        <v>0</v>
      </c>
      <c r="PH452">
        <v>0</v>
      </c>
      <c r="PI452">
        <v>0</v>
      </c>
      <c r="PJ452">
        <v>0</v>
      </c>
      <c r="PK452">
        <v>0</v>
      </c>
      <c r="PL452">
        <v>0</v>
      </c>
      <c r="PM452">
        <v>0</v>
      </c>
      <c r="PN452">
        <v>0</v>
      </c>
      <c r="PO452">
        <v>0</v>
      </c>
      <c r="PP452">
        <v>0</v>
      </c>
      <c r="PQ452">
        <v>0</v>
      </c>
      <c r="PR452">
        <v>0</v>
      </c>
      <c r="PS452">
        <v>0</v>
      </c>
      <c r="PT452">
        <v>0</v>
      </c>
      <c r="PU452">
        <v>0</v>
      </c>
      <c r="PV452">
        <v>0</v>
      </c>
      <c r="PW452">
        <v>0</v>
      </c>
      <c r="PX452">
        <v>0</v>
      </c>
      <c r="PY452">
        <v>0</v>
      </c>
      <c r="PZ452">
        <v>0</v>
      </c>
      <c r="QA452">
        <v>0</v>
      </c>
      <c r="QB452">
        <v>0</v>
      </c>
      <c r="QC452">
        <v>0</v>
      </c>
      <c r="QD452">
        <v>0</v>
      </c>
      <c r="QE452">
        <v>0</v>
      </c>
      <c r="QF452">
        <v>0</v>
      </c>
      <c r="QG452">
        <v>0</v>
      </c>
      <c r="QH452">
        <v>0</v>
      </c>
      <c r="QI452">
        <v>0</v>
      </c>
      <c r="QJ452">
        <v>0</v>
      </c>
      <c r="QK452">
        <v>0</v>
      </c>
      <c r="QL452">
        <v>0</v>
      </c>
      <c r="QM452">
        <v>0</v>
      </c>
      <c r="QN452">
        <v>0</v>
      </c>
      <c r="QO452">
        <v>0</v>
      </c>
      <c r="QP452">
        <v>0</v>
      </c>
      <c r="QQ452">
        <v>1</v>
      </c>
      <c r="QR452">
        <v>0</v>
      </c>
      <c r="QS452">
        <v>0</v>
      </c>
      <c r="QT452">
        <v>0</v>
      </c>
      <c r="QU452">
        <v>0</v>
      </c>
      <c r="QV452">
        <v>0</v>
      </c>
      <c r="QW452">
        <v>0</v>
      </c>
      <c r="QX452">
        <v>0</v>
      </c>
      <c r="QY452">
        <v>0</v>
      </c>
    </row>
    <row r="453" spans="2:467" hidden="1" x14ac:dyDescent="0.4">
      <c r="B453" t="str">
        <f>"9784065293874"</f>
        <v>9784065293874</v>
      </c>
      <c r="C453" t="s">
        <v>1787</v>
      </c>
      <c r="D453" t="s">
        <v>1788</v>
      </c>
      <c r="E453" t="s">
        <v>1789</v>
      </c>
      <c r="G453" t="s">
        <v>548</v>
      </c>
      <c r="H453" t="str">
        <f>"0244"</f>
        <v>0244</v>
      </c>
      <c r="I453" t="s">
        <v>481</v>
      </c>
      <c r="J453" t="s">
        <v>482</v>
      </c>
      <c r="K453" t="s">
        <v>868</v>
      </c>
      <c r="L453" s="1">
        <v>44818</v>
      </c>
      <c r="M453">
        <v>1000</v>
      </c>
      <c r="N453" t="str">
        <f>"451.8"</f>
        <v>451.8</v>
      </c>
      <c r="P453">
        <v>10</v>
      </c>
      <c r="Q453">
        <v>8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1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2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1</v>
      </c>
      <c r="FG453">
        <v>0</v>
      </c>
      <c r="FH453">
        <v>0</v>
      </c>
      <c r="FI453">
        <v>0</v>
      </c>
      <c r="FJ453">
        <v>1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2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0</v>
      </c>
      <c r="NL453">
        <v>0</v>
      </c>
      <c r="NM453">
        <v>0</v>
      </c>
      <c r="NN453">
        <v>0</v>
      </c>
      <c r="NO453">
        <v>0</v>
      </c>
      <c r="NP453">
        <v>0</v>
      </c>
      <c r="NQ453">
        <v>0</v>
      </c>
      <c r="NR453">
        <v>1</v>
      </c>
      <c r="NS453">
        <v>0</v>
      </c>
      <c r="NT453">
        <v>0</v>
      </c>
      <c r="NU453">
        <v>0</v>
      </c>
      <c r="NV453">
        <v>0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1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0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0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0</v>
      </c>
      <c r="QQ453">
        <v>0</v>
      </c>
      <c r="QR453">
        <v>0</v>
      </c>
      <c r="QS453">
        <v>0</v>
      </c>
      <c r="QT453">
        <v>0</v>
      </c>
      <c r="QU453">
        <v>0</v>
      </c>
      <c r="QV453">
        <v>0</v>
      </c>
      <c r="QW453">
        <v>0</v>
      </c>
      <c r="QX453">
        <v>0</v>
      </c>
      <c r="QY453">
        <v>0</v>
      </c>
    </row>
    <row r="454" spans="2:467" hidden="1" x14ac:dyDescent="0.4">
      <c r="B454" t="str">
        <f>"9784591175088"</f>
        <v>9784591175088</v>
      </c>
      <c r="C454" t="s">
        <v>1803</v>
      </c>
      <c r="D454" t="s">
        <v>1804</v>
      </c>
      <c r="E454">
        <v>229</v>
      </c>
      <c r="G454" t="s">
        <v>572</v>
      </c>
      <c r="H454" t="str">
        <f>"0270"</f>
        <v>0270</v>
      </c>
      <c r="I454" t="s">
        <v>481</v>
      </c>
      <c r="J454" t="s">
        <v>482</v>
      </c>
      <c r="K454" t="s">
        <v>1247</v>
      </c>
      <c r="L454" s="1">
        <v>44874</v>
      </c>
      <c r="M454">
        <v>1100</v>
      </c>
      <c r="N454" t="str">
        <f>"702.06"</f>
        <v>702.06</v>
      </c>
      <c r="P454">
        <v>10</v>
      </c>
      <c r="Q454">
        <v>8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1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1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2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1</v>
      </c>
      <c r="GE454">
        <v>0</v>
      </c>
      <c r="GF454">
        <v>0</v>
      </c>
      <c r="GG454">
        <v>0</v>
      </c>
      <c r="GH454">
        <v>0</v>
      </c>
      <c r="GI454">
        <v>2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1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1</v>
      </c>
      <c r="MW454">
        <v>0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0</v>
      </c>
      <c r="NK454">
        <v>0</v>
      </c>
      <c r="NL454">
        <v>0</v>
      </c>
      <c r="NM454">
        <v>0</v>
      </c>
      <c r="NN454">
        <v>0</v>
      </c>
      <c r="NO454">
        <v>0</v>
      </c>
      <c r="NP454">
        <v>0</v>
      </c>
      <c r="NQ454">
        <v>0</v>
      </c>
      <c r="NR454">
        <v>0</v>
      </c>
      <c r="NS454">
        <v>0</v>
      </c>
      <c r="NT454">
        <v>0</v>
      </c>
      <c r="NU454">
        <v>0</v>
      </c>
      <c r="NV454">
        <v>0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C454">
        <v>0</v>
      </c>
      <c r="OD454">
        <v>0</v>
      </c>
      <c r="OE454">
        <v>0</v>
      </c>
      <c r="OF454">
        <v>0</v>
      </c>
      <c r="OG454">
        <v>0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0</v>
      </c>
      <c r="PB454">
        <v>0</v>
      </c>
      <c r="PC454">
        <v>0</v>
      </c>
      <c r="PD454">
        <v>0</v>
      </c>
      <c r="PE454">
        <v>0</v>
      </c>
      <c r="PF454">
        <v>0</v>
      </c>
      <c r="PG454">
        <v>0</v>
      </c>
      <c r="PH454">
        <v>0</v>
      </c>
      <c r="PI454">
        <v>0</v>
      </c>
      <c r="PJ454">
        <v>0</v>
      </c>
      <c r="PK454">
        <v>0</v>
      </c>
      <c r="PL454">
        <v>0</v>
      </c>
      <c r="PM454">
        <v>0</v>
      </c>
      <c r="PN454">
        <v>0</v>
      </c>
      <c r="PO454">
        <v>0</v>
      </c>
      <c r="PP454">
        <v>0</v>
      </c>
      <c r="PQ454">
        <v>0</v>
      </c>
      <c r="PR454">
        <v>0</v>
      </c>
      <c r="PS454">
        <v>0</v>
      </c>
      <c r="PT454">
        <v>1</v>
      </c>
      <c r="PU454">
        <v>0</v>
      </c>
      <c r="PV454">
        <v>0</v>
      </c>
      <c r="PW454">
        <v>0</v>
      </c>
      <c r="PX454">
        <v>0</v>
      </c>
      <c r="PY454">
        <v>0</v>
      </c>
      <c r="PZ454">
        <v>0</v>
      </c>
      <c r="QA454">
        <v>0</v>
      </c>
      <c r="QB454">
        <v>0</v>
      </c>
      <c r="QC454">
        <v>0</v>
      </c>
      <c r="QD454">
        <v>0</v>
      </c>
      <c r="QE454">
        <v>0</v>
      </c>
      <c r="QF454">
        <v>0</v>
      </c>
      <c r="QG454">
        <v>0</v>
      </c>
      <c r="QH454">
        <v>0</v>
      </c>
      <c r="QI454">
        <v>0</v>
      </c>
      <c r="QJ454">
        <v>0</v>
      </c>
      <c r="QK454">
        <v>0</v>
      </c>
      <c r="QL454">
        <v>0</v>
      </c>
      <c r="QM454">
        <v>0</v>
      </c>
      <c r="QN454">
        <v>0</v>
      </c>
      <c r="QO454">
        <v>0</v>
      </c>
      <c r="QP454">
        <v>0</v>
      </c>
      <c r="QQ454">
        <v>0</v>
      </c>
      <c r="QR454">
        <v>0</v>
      </c>
      <c r="QS454">
        <v>0</v>
      </c>
      <c r="QT454">
        <v>0</v>
      </c>
      <c r="QU454">
        <v>0</v>
      </c>
      <c r="QV454">
        <v>0</v>
      </c>
      <c r="QW454">
        <v>0</v>
      </c>
      <c r="QX454">
        <v>0</v>
      </c>
      <c r="QY454">
        <v>0</v>
      </c>
    </row>
    <row r="455" spans="2:467" x14ac:dyDescent="0.4">
      <c r="B455" t="str">
        <f>"9784003403518"</f>
        <v>9784003403518</v>
      </c>
      <c r="C455" t="s">
        <v>1812</v>
      </c>
      <c r="D455" t="s">
        <v>1813</v>
      </c>
      <c r="E455" t="s">
        <v>1814</v>
      </c>
      <c r="G455" t="s">
        <v>521</v>
      </c>
      <c r="H455" t="str">
        <f>"0132"</f>
        <v>0132</v>
      </c>
      <c r="I455" t="s">
        <v>481</v>
      </c>
      <c r="J455" t="s">
        <v>487</v>
      </c>
      <c r="K455" t="s">
        <v>1053</v>
      </c>
      <c r="L455" s="1">
        <v>44728</v>
      </c>
      <c r="M455">
        <v>1260</v>
      </c>
      <c r="N455" t="str">
        <f>"323.14"</f>
        <v>323.14</v>
      </c>
      <c r="P455">
        <v>10</v>
      </c>
      <c r="Q455">
        <v>8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1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2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1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2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1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1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0</v>
      </c>
      <c r="MS455">
        <v>0</v>
      </c>
      <c r="MT455">
        <v>0</v>
      </c>
      <c r="MU455">
        <v>0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0</v>
      </c>
      <c r="NK455">
        <v>0</v>
      </c>
      <c r="NL455">
        <v>0</v>
      </c>
      <c r="NM455">
        <v>0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0</v>
      </c>
      <c r="NV455">
        <v>0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1</v>
      </c>
      <c r="OC455">
        <v>0</v>
      </c>
      <c r="OD455">
        <v>0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1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0</v>
      </c>
      <c r="PN455">
        <v>0</v>
      </c>
      <c r="PO455">
        <v>0</v>
      </c>
      <c r="PP455">
        <v>0</v>
      </c>
      <c r="PQ455">
        <v>0</v>
      </c>
      <c r="PR455">
        <v>0</v>
      </c>
      <c r="PS455">
        <v>0</v>
      </c>
      <c r="PT455">
        <v>0</v>
      </c>
      <c r="PU455">
        <v>0</v>
      </c>
      <c r="PV455">
        <v>0</v>
      </c>
      <c r="PW455">
        <v>0</v>
      </c>
      <c r="PX455">
        <v>0</v>
      </c>
      <c r="PY455">
        <v>0</v>
      </c>
      <c r="PZ455">
        <v>0</v>
      </c>
      <c r="QA455">
        <v>0</v>
      </c>
      <c r="QB455">
        <v>0</v>
      </c>
      <c r="QC455">
        <v>0</v>
      </c>
      <c r="QD455">
        <v>0</v>
      </c>
      <c r="QE455">
        <v>0</v>
      </c>
      <c r="QF455">
        <v>0</v>
      </c>
      <c r="QG455">
        <v>0</v>
      </c>
      <c r="QH455">
        <v>0</v>
      </c>
      <c r="QI455">
        <v>0</v>
      </c>
      <c r="QJ455">
        <v>0</v>
      </c>
      <c r="QK455">
        <v>0</v>
      </c>
      <c r="QL455">
        <v>0</v>
      </c>
      <c r="QM455">
        <v>0</v>
      </c>
      <c r="QN455">
        <v>0</v>
      </c>
      <c r="QO455">
        <v>0</v>
      </c>
      <c r="QP455">
        <v>0</v>
      </c>
      <c r="QQ455">
        <v>0</v>
      </c>
      <c r="QR455">
        <v>0</v>
      </c>
      <c r="QS455">
        <v>0</v>
      </c>
      <c r="QT455">
        <v>0</v>
      </c>
      <c r="QU455">
        <v>0</v>
      </c>
      <c r="QV455">
        <v>0</v>
      </c>
      <c r="QW455">
        <v>0</v>
      </c>
      <c r="QX455">
        <v>0</v>
      </c>
      <c r="QY455">
        <v>0</v>
      </c>
    </row>
    <row r="456" spans="2:467" x14ac:dyDescent="0.4">
      <c r="B456" t="str">
        <f>"9784087441529"</f>
        <v>9784087441529</v>
      </c>
      <c r="C456" t="s">
        <v>1815</v>
      </c>
      <c r="D456" t="s">
        <v>1077</v>
      </c>
      <c r="E456" t="s">
        <v>1816</v>
      </c>
      <c r="G456" t="s">
        <v>536</v>
      </c>
      <c r="H456" t="str">
        <f>"0193"</f>
        <v>0193</v>
      </c>
      <c r="I456" t="s">
        <v>481</v>
      </c>
      <c r="J456" t="s">
        <v>487</v>
      </c>
      <c r="K456" t="s">
        <v>488</v>
      </c>
      <c r="L456" s="1">
        <v>44092</v>
      </c>
      <c r="M456">
        <v>890</v>
      </c>
      <c r="N456" t="str">
        <f>"913.6"</f>
        <v>913.6</v>
      </c>
      <c r="P456">
        <v>10</v>
      </c>
      <c r="Q456">
        <v>8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1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2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2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1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1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1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1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  <c r="NK456">
        <v>0</v>
      </c>
      <c r="NL456">
        <v>0</v>
      </c>
      <c r="NM456">
        <v>0</v>
      </c>
      <c r="NN456">
        <v>0</v>
      </c>
      <c r="NO456">
        <v>0</v>
      </c>
      <c r="NP456">
        <v>0</v>
      </c>
      <c r="NQ456">
        <v>0</v>
      </c>
      <c r="NR456">
        <v>0</v>
      </c>
      <c r="NS456">
        <v>0</v>
      </c>
      <c r="NT456">
        <v>0</v>
      </c>
      <c r="NU456">
        <v>0</v>
      </c>
      <c r="NV456">
        <v>0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C456">
        <v>0</v>
      </c>
      <c r="OD456">
        <v>0</v>
      </c>
      <c r="OE456">
        <v>0</v>
      </c>
      <c r="OF456">
        <v>0</v>
      </c>
      <c r="OG456">
        <v>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0</v>
      </c>
      <c r="OX456">
        <v>0</v>
      </c>
      <c r="OY456">
        <v>0</v>
      </c>
      <c r="OZ456">
        <v>0</v>
      </c>
      <c r="PA456">
        <v>0</v>
      </c>
      <c r="PB456">
        <v>0</v>
      </c>
      <c r="PC456">
        <v>0</v>
      </c>
      <c r="PD456">
        <v>0</v>
      </c>
      <c r="PE456">
        <v>0</v>
      </c>
      <c r="PF456">
        <v>0</v>
      </c>
      <c r="PG456">
        <v>0</v>
      </c>
      <c r="PH456">
        <v>0</v>
      </c>
      <c r="PI456">
        <v>0</v>
      </c>
      <c r="PJ456">
        <v>0</v>
      </c>
      <c r="PK456">
        <v>0</v>
      </c>
      <c r="PL456">
        <v>0</v>
      </c>
      <c r="PM456">
        <v>0</v>
      </c>
      <c r="PN456">
        <v>0</v>
      </c>
      <c r="PO456">
        <v>0</v>
      </c>
      <c r="PP456">
        <v>0</v>
      </c>
      <c r="PQ456">
        <v>0</v>
      </c>
      <c r="PR456">
        <v>0</v>
      </c>
      <c r="PS456">
        <v>0</v>
      </c>
      <c r="PT456">
        <v>0</v>
      </c>
      <c r="PU456">
        <v>0</v>
      </c>
      <c r="PV456">
        <v>0</v>
      </c>
      <c r="PW456">
        <v>0</v>
      </c>
      <c r="PX456">
        <v>0</v>
      </c>
      <c r="PY456">
        <v>0</v>
      </c>
      <c r="PZ456">
        <v>0</v>
      </c>
      <c r="QA456">
        <v>0</v>
      </c>
      <c r="QB456">
        <v>0</v>
      </c>
      <c r="QC456">
        <v>0</v>
      </c>
      <c r="QD456">
        <v>0</v>
      </c>
      <c r="QE456">
        <v>0</v>
      </c>
      <c r="QF456">
        <v>0</v>
      </c>
      <c r="QG456">
        <v>0</v>
      </c>
      <c r="QH456">
        <v>0</v>
      </c>
      <c r="QI456">
        <v>0</v>
      </c>
      <c r="QJ456">
        <v>0</v>
      </c>
      <c r="QK456">
        <v>1</v>
      </c>
      <c r="QL456">
        <v>0</v>
      </c>
      <c r="QM456">
        <v>0</v>
      </c>
      <c r="QN456">
        <v>0</v>
      </c>
      <c r="QO456">
        <v>0</v>
      </c>
      <c r="QP456">
        <v>0</v>
      </c>
      <c r="QQ456">
        <v>0</v>
      </c>
      <c r="QR456">
        <v>0</v>
      </c>
      <c r="QS456">
        <v>0</v>
      </c>
      <c r="QT456">
        <v>0</v>
      </c>
      <c r="QU456">
        <v>0</v>
      </c>
      <c r="QV456">
        <v>0</v>
      </c>
      <c r="QW456">
        <v>0</v>
      </c>
      <c r="QX456">
        <v>0</v>
      </c>
      <c r="QY456">
        <v>0</v>
      </c>
    </row>
    <row r="457" spans="2:467" x14ac:dyDescent="0.4">
      <c r="B457" t="str">
        <f>"9784003394618"</f>
        <v>9784003394618</v>
      </c>
      <c r="C457" t="s">
        <v>1826</v>
      </c>
      <c r="D457" t="s">
        <v>1827</v>
      </c>
      <c r="E457" t="s">
        <v>1828</v>
      </c>
      <c r="G457" t="s">
        <v>521</v>
      </c>
      <c r="H457" t="str">
        <f>"0142"</f>
        <v>0142</v>
      </c>
      <c r="I457" t="s">
        <v>481</v>
      </c>
      <c r="J457" t="s">
        <v>487</v>
      </c>
      <c r="K457" t="s">
        <v>545</v>
      </c>
      <c r="L457" s="1">
        <v>39569</v>
      </c>
      <c r="M457">
        <v>720</v>
      </c>
      <c r="N457" t="str">
        <f>"461"</f>
        <v>461</v>
      </c>
      <c r="P457">
        <v>10</v>
      </c>
      <c r="Q457">
        <v>8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1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2</v>
      </c>
      <c r="CI457">
        <v>1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2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1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1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  <c r="NK457">
        <v>0</v>
      </c>
      <c r="NL457">
        <v>0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1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0</v>
      </c>
      <c r="OF457">
        <v>0</v>
      </c>
      <c r="OG457">
        <v>0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0</v>
      </c>
      <c r="PJ457">
        <v>0</v>
      </c>
      <c r="PK457">
        <v>0</v>
      </c>
      <c r="PL457">
        <v>0</v>
      </c>
      <c r="PM457">
        <v>0</v>
      </c>
      <c r="PN457">
        <v>0</v>
      </c>
      <c r="PO457">
        <v>0</v>
      </c>
      <c r="PP457">
        <v>0</v>
      </c>
      <c r="PQ457">
        <v>0</v>
      </c>
      <c r="PR457">
        <v>0</v>
      </c>
      <c r="PS457">
        <v>0</v>
      </c>
      <c r="PT457">
        <v>0</v>
      </c>
      <c r="PU457">
        <v>0</v>
      </c>
      <c r="PV457">
        <v>0</v>
      </c>
      <c r="PW457">
        <v>0</v>
      </c>
      <c r="PX457">
        <v>0</v>
      </c>
      <c r="PY457">
        <v>0</v>
      </c>
      <c r="PZ457">
        <v>0</v>
      </c>
      <c r="QA457">
        <v>0</v>
      </c>
      <c r="QB457">
        <v>0</v>
      </c>
      <c r="QC457">
        <v>0</v>
      </c>
      <c r="QD457">
        <v>0</v>
      </c>
      <c r="QE457">
        <v>0</v>
      </c>
      <c r="QF457">
        <v>0</v>
      </c>
      <c r="QG457">
        <v>0</v>
      </c>
      <c r="QH457">
        <v>0</v>
      </c>
      <c r="QI457">
        <v>0</v>
      </c>
      <c r="QJ457">
        <v>0</v>
      </c>
      <c r="QK457">
        <v>0</v>
      </c>
      <c r="QL457">
        <v>0</v>
      </c>
      <c r="QM457">
        <v>0</v>
      </c>
      <c r="QN457">
        <v>0</v>
      </c>
      <c r="QO457">
        <v>0</v>
      </c>
      <c r="QP457">
        <v>0</v>
      </c>
      <c r="QQ457">
        <v>0</v>
      </c>
      <c r="QR457">
        <v>0</v>
      </c>
      <c r="QS457">
        <v>0</v>
      </c>
      <c r="QT457">
        <v>0</v>
      </c>
      <c r="QU457">
        <v>0</v>
      </c>
      <c r="QV457">
        <v>0</v>
      </c>
      <c r="QW457">
        <v>0</v>
      </c>
      <c r="QX457">
        <v>0</v>
      </c>
      <c r="QY457">
        <v>0</v>
      </c>
    </row>
    <row r="458" spans="2:467" hidden="1" x14ac:dyDescent="0.4">
      <c r="B458" t="str">
        <f>"9784065204962"</f>
        <v>9784065204962</v>
      </c>
      <c r="C458" t="s">
        <v>1832</v>
      </c>
      <c r="D458" t="s">
        <v>1833</v>
      </c>
      <c r="E458" t="s">
        <v>1834</v>
      </c>
      <c r="G458" t="s">
        <v>548</v>
      </c>
      <c r="H458" t="str">
        <f>"0204"</f>
        <v>0204</v>
      </c>
      <c r="I458" t="s">
        <v>481</v>
      </c>
      <c r="J458" t="s">
        <v>482</v>
      </c>
      <c r="K458" t="s">
        <v>1835</v>
      </c>
      <c r="L458" s="1">
        <v>44027</v>
      </c>
      <c r="M458">
        <v>1200</v>
      </c>
      <c r="N458" t="str">
        <f>"007.63"</f>
        <v>007.63</v>
      </c>
      <c r="P458">
        <v>10</v>
      </c>
      <c r="Q458">
        <v>8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1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1</v>
      </c>
      <c r="DZ458">
        <v>0</v>
      </c>
      <c r="EA458">
        <v>0</v>
      </c>
      <c r="EB458">
        <v>0</v>
      </c>
      <c r="EC458">
        <v>0</v>
      </c>
      <c r="ED458">
        <v>1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2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2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1</v>
      </c>
      <c r="LS458">
        <v>1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  <c r="NK458">
        <v>0</v>
      </c>
      <c r="NL458">
        <v>0</v>
      </c>
      <c r="NM458">
        <v>0</v>
      </c>
      <c r="NN458">
        <v>0</v>
      </c>
      <c r="NO458">
        <v>0</v>
      </c>
      <c r="NP458">
        <v>0</v>
      </c>
      <c r="NQ458">
        <v>0</v>
      </c>
      <c r="NR458">
        <v>0</v>
      </c>
      <c r="NS458">
        <v>0</v>
      </c>
      <c r="NT458">
        <v>0</v>
      </c>
      <c r="NU458">
        <v>0</v>
      </c>
      <c r="NV458">
        <v>0</v>
      </c>
      <c r="NW458">
        <v>0</v>
      </c>
      <c r="NX458">
        <v>0</v>
      </c>
      <c r="NY458">
        <v>1</v>
      </c>
      <c r="NZ458">
        <v>0</v>
      </c>
      <c r="OA458">
        <v>0</v>
      </c>
      <c r="OB458">
        <v>0</v>
      </c>
      <c r="OC458">
        <v>0</v>
      </c>
      <c r="OD458">
        <v>0</v>
      </c>
      <c r="OE458">
        <v>0</v>
      </c>
      <c r="OF458">
        <v>0</v>
      </c>
      <c r="OG458">
        <v>0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  <c r="PB458">
        <v>0</v>
      </c>
      <c r="PC458">
        <v>0</v>
      </c>
      <c r="PD458">
        <v>0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0</v>
      </c>
      <c r="PN458">
        <v>0</v>
      </c>
      <c r="PO458">
        <v>0</v>
      </c>
      <c r="PP458">
        <v>0</v>
      </c>
      <c r="PQ458">
        <v>0</v>
      </c>
      <c r="PR458">
        <v>0</v>
      </c>
      <c r="PS458">
        <v>0</v>
      </c>
      <c r="PT458">
        <v>0</v>
      </c>
      <c r="PU458">
        <v>0</v>
      </c>
      <c r="PV458">
        <v>0</v>
      </c>
      <c r="PW458">
        <v>0</v>
      </c>
      <c r="PX458">
        <v>0</v>
      </c>
      <c r="PY458">
        <v>0</v>
      </c>
      <c r="PZ458">
        <v>0</v>
      </c>
      <c r="QA458">
        <v>0</v>
      </c>
      <c r="QB458">
        <v>0</v>
      </c>
      <c r="QC458">
        <v>0</v>
      </c>
      <c r="QD458">
        <v>0</v>
      </c>
      <c r="QE458">
        <v>0</v>
      </c>
      <c r="QF458">
        <v>0</v>
      </c>
      <c r="QG458">
        <v>0</v>
      </c>
      <c r="QH458">
        <v>0</v>
      </c>
      <c r="QI458">
        <v>0</v>
      </c>
      <c r="QJ458">
        <v>0</v>
      </c>
      <c r="QK458">
        <v>0</v>
      </c>
      <c r="QL458">
        <v>0</v>
      </c>
      <c r="QM458">
        <v>0</v>
      </c>
      <c r="QN458">
        <v>0</v>
      </c>
      <c r="QO458">
        <v>0</v>
      </c>
      <c r="QP458">
        <v>0</v>
      </c>
      <c r="QQ458">
        <v>0</v>
      </c>
      <c r="QR458">
        <v>0</v>
      </c>
      <c r="QS458">
        <v>0</v>
      </c>
      <c r="QT458">
        <v>0</v>
      </c>
      <c r="QU458">
        <v>0</v>
      </c>
      <c r="QV458">
        <v>0</v>
      </c>
      <c r="QW458">
        <v>0</v>
      </c>
      <c r="QX458">
        <v>0</v>
      </c>
      <c r="QY458">
        <v>0</v>
      </c>
    </row>
    <row r="459" spans="2:467" x14ac:dyDescent="0.4">
      <c r="B459" t="str">
        <f>"9784003361542"</f>
        <v>9784003361542</v>
      </c>
      <c r="C459" t="s">
        <v>1841</v>
      </c>
      <c r="D459" t="s">
        <v>1715</v>
      </c>
      <c r="E459" t="s">
        <v>1842</v>
      </c>
      <c r="G459" t="s">
        <v>521</v>
      </c>
      <c r="H459" t="str">
        <f>"0110"</f>
        <v>0110</v>
      </c>
      <c r="I459" t="s">
        <v>481</v>
      </c>
      <c r="J459" t="s">
        <v>487</v>
      </c>
      <c r="K459" t="s">
        <v>483</v>
      </c>
      <c r="L459" s="1">
        <v>40886</v>
      </c>
      <c r="M459">
        <v>970</v>
      </c>
      <c r="N459" t="str">
        <f>"135.2"</f>
        <v>135.2</v>
      </c>
      <c r="P459">
        <v>10</v>
      </c>
      <c r="Q459">
        <v>8</v>
      </c>
      <c r="R459">
        <v>0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2</v>
      </c>
      <c r="CI459">
        <v>1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1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1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1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1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2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0</v>
      </c>
      <c r="NK459">
        <v>0</v>
      </c>
      <c r="NL459">
        <v>0</v>
      </c>
      <c r="NM459">
        <v>0</v>
      </c>
      <c r="NN459">
        <v>0</v>
      </c>
      <c r="NO459">
        <v>0</v>
      </c>
      <c r="NP459">
        <v>0</v>
      </c>
      <c r="NQ459">
        <v>0</v>
      </c>
      <c r="NR459">
        <v>0</v>
      </c>
      <c r="NS459">
        <v>0</v>
      </c>
      <c r="NT459">
        <v>0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C459">
        <v>0</v>
      </c>
      <c r="OD459">
        <v>0</v>
      </c>
      <c r="OE459">
        <v>0</v>
      </c>
      <c r="OF459">
        <v>0</v>
      </c>
      <c r="OG459">
        <v>0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0</v>
      </c>
      <c r="PN459">
        <v>0</v>
      </c>
      <c r="PO459">
        <v>0</v>
      </c>
      <c r="PP459">
        <v>0</v>
      </c>
      <c r="PQ459">
        <v>0</v>
      </c>
      <c r="PR459">
        <v>0</v>
      </c>
      <c r="PS459">
        <v>0</v>
      </c>
      <c r="PT459">
        <v>0</v>
      </c>
      <c r="PU459">
        <v>0</v>
      </c>
      <c r="PV459">
        <v>0</v>
      </c>
      <c r="PW459">
        <v>0</v>
      </c>
      <c r="PX459">
        <v>0</v>
      </c>
      <c r="PY459">
        <v>0</v>
      </c>
      <c r="PZ459">
        <v>0</v>
      </c>
      <c r="QA459">
        <v>0</v>
      </c>
      <c r="QB459">
        <v>0</v>
      </c>
      <c r="QC459">
        <v>0</v>
      </c>
      <c r="QD459">
        <v>0</v>
      </c>
      <c r="QE459">
        <v>0</v>
      </c>
      <c r="QF459">
        <v>0</v>
      </c>
      <c r="QG459">
        <v>0</v>
      </c>
      <c r="QH459">
        <v>0</v>
      </c>
      <c r="QI459">
        <v>0</v>
      </c>
      <c r="QJ459">
        <v>0</v>
      </c>
      <c r="QK459">
        <v>0</v>
      </c>
      <c r="QL459">
        <v>0</v>
      </c>
      <c r="QM459">
        <v>0</v>
      </c>
      <c r="QN459">
        <v>0</v>
      </c>
      <c r="QO459">
        <v>0</v>
      </c>
      <c r="QP459">
        <v>0</v>
      </c>
      <c r="QQ459">
        <v>0</v>
      </c>
      <c r="QR459">
        <v>0</v>
      </c>
      <c r="QS459">
        <v>0</v>
      </c>
      <c r="QT459">
        <v>0</v>
      </c>
      <c r="QU459">
        <v>0</v>
      </c>
      <c r="QV459">
        <v>0</v>
      </c>
      <c r="QW459">
        <v>0</v>
      </c>
      <c r="QX459">
        <v>0</v>
      </c>
      <c r="QY459">
        <v>0</v>
      </c>
    </row>
    <row r="460" spans="2:467" x14ac:dyDescent="0.4">
      <c r="B460" t="str">
        <f>"9784046043153"</f>
        <v>9784046043153</v>
      </c>
      <c r="C460" t="s">
        <v>1843</v>
      </c>
      <c r="D460" t="s">
        <v>1844</v>
      </c>
      <c r="E460" t="s">
        <v>1845</v>
      </c>
      <c r="G460" t="s">
        <v>597</v>
      </c>
      <c r="H460" t="str">
        <f>"0110"</f>
        <v>0110</v>
      </c>
      <c r="I460" t="s">
        <v>481</v>
      </c>
      <c r="J460" t="s">
        <v>487</v>
      </c>
      <c r="K460" t="s">
        <v>483</v>
      </c>
      <c r="L460" s="1">
        <v>43609</v>
      </c>
      <c r="M460">
        <v>620</v>
      </c>
      <c r="N460" t="str">
        <f>"100"</f>
        <v>100</v>
      </c>
      <c r="P460">
        <v>10</v>
      </c>
      <c r="Q460">
        <v>8</v>
      </c>
      <c r="R460">
        <v>0</v>
      </c>
      <c r="S460">
        <v>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3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1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1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1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1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1</v>
      </c>
      <c r="NF460">
        <v>0</v>
      </c>
      <c r="NG460">
        <v>0</v>
      </c>
      <c r="NH460">
        <v>0</v>
      </c>
      <c r="NI460">
        <v>0</v>
      </c>
      <c r="NJ460">
        <v>0</v>
      </c>
      <c r="NK460">
        <v>0</v>
      </c>
      <c r="NL460">
        <v>0</v>
      </c>
      <c r="NM460">
        <v>0</v>
      </c>
      <c r="NN460">
        <v>0</v>
      </c>
      <c r="NO460">
        <v>0</v>
      </c>
      <c r="NP460">
        <v>0</v>
      </c>
      <c r="NQ460">
        <v>0</v>
      </c>
      <c r="NR460">
        <v>1</v>
      </c>
      <c r="NS460">
        <v>0</v>
      </c>
      <c r="NT460">
        <v>0</v>
      </c>
      <c r="NU460">
        <v>0</v>
      </c>
      <c r="NV460">
        <v>0</v>
      </c>
      <c r="NW460">
        <v>0</v>
      </c>
      <c r="NX460">
        <v>0</v>
      </c>
      <c r="NY460">
        <v>0</v>
      </c>
      <c r="NZ460">
        <v>0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0</v>
      </c>
      <c r="OG460">
        <v>0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0</v>
      </c>
      <c r="OW460">
        <v>0</v>
      </c>
      <c r="OX460">
        <v>0</v>
      </c>
      <c r="OY460">
        <v>0</v>
      </c>
      <c r="OZ460">
        <v>0</v>
      </c>
      <c r="PA460">
        <v>0</v>
      </c>
      <c r="PB460">
        <v>0</v>
      </c>
      <c r="PC460">
        <v>0</v>
      </c>
      <c r="PD460">
        <v>0</v>
      </c>
      <c r="PE460">
        <v>0</v>
      </c>
      <c r="PF460">
        <v>0</v>
      </c>
      <c r="PG460">
        <v>0</v>
      </c>
      <c r="PH460">
        <v>0</v>
      </c>
      <c r="PI460">
        <v>0</v>
      </c>
      <c r="PJ460">
        <v>0</v>
      </c>
      <c r="PK460">
        <v>0</v>
      </c>
      <c r="PL460">
        <v>0</v>
      </c>
      <c r="PM460">
        <v>0</v>
      </c>
      <c r="PN460">
        <v>0</v>
      </c>
      <c r="PO460">
        <v>0</v>
      </c>
      <c r="PP460">
        <v>0</v>
      </c>
      <c r="PQ460">
        <v>0</v>
      </c>
      <c r="PR460">
        <v>0</v>
      </c>
      <c r="PS460">
        <v>0</v>
      </c>
      <c r="PT460">
        <v>0</v>
      </c>
      <c r="PU460">
        <v>0</v>
      </c>
      <c r="PV460">
        <v>0</v>
      </c>
      <c r="PW460">
        <v>0</v>
      </c>
      <c r="PX460">
        <v>0</v>
      </c>
      <c r="PY460">
        <v>0</v>
      </c>
      <c r="PZ460">
        <v>0</v>
      </c>
      <c r="QA460">
        <v>0</v>
      </c>
      <c r="QB460">
        <v>0</v>
      </c>
      <c r="QC460">
        <v>0</v>
      </c>
      <c r="QD460">
        <v>0</v>
      </c>
      <c r="QE460">
        <v>0</v>
      </c>
      <c r="QF460">
        <v>0</v>
      </c>
      <c r="QG460">
        <v>0</v>
      </c>
      <c r="QH460">
        <v>0</v>
      </c>
      <c r="QI460">
        <v>0</v>
      </c>
      <c r="QJ460">
        <v>0</v>
      </c>
      <c r="QK460">
        <v>0</v>
      </c>
      <c r="QL460">
        <v>0</v>
      </c>
      <c r="QM460">
        <v>0</v>
      </c>
      <c r="QN460">
        <v>0</v>
      </c>
      <c r="QO460">
        <v>0</v>
      </c>
      <c r="QP460">
        <v>0</v>
      </c>
      <c r="QQ460">
        <v>0</v>
      </c>
      <c r="QR460">
        <v>0</v>
      </c>
      <c r="QS460">
        <v>0</v>
      </c>
      <c r="QT460">
        <v>0</v>
      </c>
      <c r="QU460">
        <v>0</v>
      </c>
      <c r="QV460">
        <v>0</v>
      </c>
      <c r="QW460">
        <v>0</v>
      </c>
      <c r="QX460">
        <v>0</v>
      </c>
      <c r="QY460">
        <v>0</v>
      </c>
    </row>
    <row r="461" spans="2:467" x14ac:dyDescent="0.4">
      <c r="B461" t="str">
        <f>"9784003315811"</f>
        <v>9784003315811</v>
      </c>
      <c r="C461" t="s">
        <v>1253</v>
      </c>
      <c r="D461" t="s">
        <v>1254</v>
      </c>
      <c r="G461" t="s">
        <v>521</v>
      </c>
      <c r="H461" t="str">
        <f>"0137"</f>
        <v>0137</v>
      </c>
      <c r="I461" t="s">
        <v>481</v>
      </c>
      <c r="J461" t="s">
        <v>487</v>
      </c>
      <c r="K461" t="s">
        <v>569</v>
      </c>
      <c r="L461" s="1">
        <v>30256</v>
      </c>
      <c r="M461">
        <v>970</v>
      </c>
      <c r="N461" t="str">
        <f>"159.7"</f>
        <v>159.7</v>
      </c>
      <c r="P461">
        <v>15</v>
      </c>
      <c r="Q461">
        <v>7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1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1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1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8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1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2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1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0</v>
      </c>
      <c r="NL461">
        <v>0</v>
      </c>
      <c r="NM461">
        <v>0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0</v>
      </c>
      <c r="NV461">
        <v>0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C461">
        <v>0</v>
      </c>
      <c r="OD461">
        <v>0</v>
      </c>
      <c r="OE461">
        <v>0</v>
      </c>
      <c r="OF461">
        <v>0</v>
      </c>
      <c r="OG461">
        <v>0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0</v>
      </c>
      <c r="PN461">
        <v>0</v>
      </c>
      <c r="PO461">
        <v>0</v>
      </c>
      <c r="PP461">
        <v>0</v>
      </c>
      <c r="PQ461">
        <v>0</v>
      </c>
      <c r="PR461">
        <v>0</v>
      </c>
      <c r="PS461">
        <v>0</v>
      </c>
      <c r="PT461">
        <v>0</v>
      </c>
      <c r="PU461">
        <v>0</v>
      </c>
      <c r="PV461">
        <v>0</v>
      </c>
      <c r="PW461">
        <v>0</v>
      </c>
      <c r="PX461">
        <v>0</v>
      </c>
      <c r="PY461">
        <v>0</v>
      </c>
      <c r="PZ461">
        <v>0</v>
      </c>
      <c r="QA461">
        <v>0</v>
      </c>
      <c r="QB461">
        <v>0</v>
      </c>
      <c r="QC461">
        <v>0</v>
      </c>
      <c r="QD461">
        <v>0</v>
      </c>
      <c r="QE461">
        <v>0</v>
      </c>
      <c r="QF461">
        <v>0</v>
      </c>
      <c r="QG461">
        <v>0</v>
      </c>
      <c r="QH461">
        <v>0</v>
      </c>
      <c r="QI461">
        <v>0</v>
      </c>
      <c r="QJ461">
        <v>0</v>
      </c>
      <c r="QK461">
        <v>0</v>
      </c>
      <c r="QL461">
        <v>0</v>
      </c>
      <c r="QM461">
        <v>0</v>
      </c>
      <c r="QN461">
        <v>0</v>
      </c>
      <c r="QO461">
        <v>0</v>
      </c>
      <c r="QP461">
        <v>0</v>
      </c>
      <c r="QQ461">
        <v>0</v>
      </c>
      <c r="QR461">
        <v>0</v>
      </c>
      <c r="QS461">
        <v>0</v>
      </c>
      <c r="QT461">
        <v>0</v>
      </c>
      <c r="QU461">
        <v>0</v>
      </c>
      <c r="QV461">
        <v>0</v>
      </c>
      <c r="QW461">
        <v>0</v>
      </c>
      <c r="QX461">
        <v>0</v>
      </c>
      <c r="QY461">
        <v>0</v>
      </c>
    </row>
    <row r="462" spans="2:467" hidden="1" x14ac:dyDescent="0.4">
      <c r="B462" t="str">
        <f>"9784121026804"</f>
        <v>9784121026804</v>
      </c>
      <c r="C462" t="s">
        <v>1356</v>
      </c>
      <c r="D462" t="s">
        <v>1357</v>
      </c>
      <c r="E462">
        <v>2680</v>
      </c>
      <c r="G462" t="s">
        <v>540</v>
      </c>
      <c r="H462" t="str">
        <f>"1211"</f>
        <v>1211</v>
      </c>
      <c r="I462" t="s">
        <v>541</v>
      </c>
      <c r="J462" t="s">
        <v>482</v>
      </c>
      <c r="K462" t="s">
        <v>610</v>
      </c>
      <c r="L462" s="1">
        <v>44580</v>
      </c>
      <c r="M462">
        <v>1000</v>
      </c>
      <c r="N462" t="str">
        <f>"141.72"</f>
        <v>141.72</v>
      </c>
      <c r="P462">
        <v>13</v>
      </c>
      <c r="Q462">
        <v>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1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4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1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1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3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  <c r="NK462">
        <v>0</v>
      </c>
      <c r="NL462">
        <v>0</v>
      </c>
      <c r="NM462">
        <v>0</v>
      </c>
      <c r="NN462">
        <v>0</v>
      </c>
      <c r="NO462">
        <v>0</v>
      </c>
      <c r="NP462">
        <v>0</v>
      </c>
      <c r="NQ462">
        <v>0</v>
      </c>
      <c r="NR462">
        <v>0</v>
      </c>
      <c r="NS462">
        <v>0</v>
      </c>
      <c r="NT462">
        <v>0</v>
      </c>
      <c r="NU462">
        <v>0</v>
      </c>
      <c r="NV462">
        <v>0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0</v>
      </c>
      <c r="OJ462">
        <v>0</v>
      </c>
      <c r="OK462">
        <v>0</v>
      </c>
      <c r="OL462">
        <v>0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0</v>
      </c>
      <c r="PB462">
        <v>0</v>
      </c>
      <c r="PC462">
        <v>0</v>
      </c>
      <c r="PD462">
        <v>0</v>
      </c>
      <c r="PE462">
        <v>0</v>
      </c>
      <c r="PF462">
        <v>2</v>
      </c>
      <c r="PG462">
        <v>0</v>
      </c>
      <c r="PH462">
        <v>0</v>
      </c>
      <c r="PI462">
        <v>0</v>
      </c>
      <c r="PJ462">
        <v>0</v>
      </c>
      <c r="PK462">
        <v>0</v>
      </c>
      <c r="PL462">
        <v>0</v>
      </c>
      <c r="PM462">
        <v>0</v>
      </c>
      <c r="PN462">
        <v>0</v>
      </c>
      <c r="PO462">
        <v>0</v>
      </c>
      <c r="PP462">
        <v>0</v>
      </c>
      <c r="PQ462">
        <v>0</v>
      </c>
      <c r="PR462">
        <v>0</v>
      </c>
      <c r="PS462">
        <v>0</v>
      </c>
      <c r="PT462">
        <v>0</v>
      </c>
      <c r="PU462">
        <v>0</v>
      </c>
      <c r="PV462">
        <v>0</v>
      </c>
      <c r="PW462">
        <v>0</v>
      </c>
      <c r="PX462">
        <v>0</v>
      </c>
      <c r="PY462">
        <v>0</v>
      </c>
      <c r="PZ462">
        <v>0</v>
      </c>
      <c r="QA462">
        <v>0</v>
      </c>
      <c r="QB462">
        <v>0</v>
      </c>
      <c r="QC462">
        <v>0</v>
      </c>
      <c r="QD462">
        <v>0</v>
      </c>
      <c r="QE462">
        <v>0</v>
      </c>
      <c r="QF462">
        <v>0</v>
      </c>
      <c r="QG462">
        <v>0</v>
      </c>
      <c r="QH462">
        <v>0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</v>
      </c>
      <c r="QO462">
        <v>0</v>
      </c>
      <c r="QP462">
        <v>0</v>
      </c>
      <c r="QQ462">
        <v>0</v>
      </c>
      <c r="QR462">
        <v>0</v>
      </c>
      <c r="QS462">
        <v>0</v>
      </c>
      <c r="QT462">
        <v>0</v>
      </c>
      <c r="QU462">
        <v>0</v>
      </c>
      <c r="QV462">
        <v>0</v>
      </c>
      <c r="QW462">
        <v>0</v>
      </c>
      <c r="QX462">
        <v>0</v>
      </c>
      <c r="QY462">
        <v>0</v>
      </c>
    </row>
    <row r="463" spans="2:467" hidden="1" x14ac:dyDescent="0.4">
      <c r="B463" t="str">
        <f>"9784121027078"</f>
        <v>9784121027078</v>
      </c>
      <c r="C463" t="s">
        <v>1548</v>
      </c>
      <c r="D463" t="s">
        <v>1549</v>
      </c>
      <c r="E463">
        <v>2707</v>
      </c>
      <c r="G463" t="s">
        <v>540</v>
      </c>
      <c r="H463" t="str">
        <f>"1221"</f>
        <v>1221</v>
      </c>
      <c r="I463" t="s">
        <v>541</v>
      </c>
      <c r="J463" t="s">
        <v>482</v>
      </c>
      <c r="K463" t="s">
        <v>620</v>
      </c>
      <c r="L463" s="1">
        <v>44761</v>
      </c>
      <c r="M463">
        <v>880</v>
      </c>
      <c r="N463" t="str">
        <f>"210.75"</f>
        <v>210.75</v>
      </c>
      <c r="P463">
        <v>11</v>
      </c>
      <c r="Q463">
        <v>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1</v>
      </c>
      <c r="JN463">
        <v>0</v>
      </c>
      <c r="JO463">
        <v>0</v>
      </c>
      <c r="JP463">
        <v>1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1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  <c r="NK463">
        <v>0</v>
      </c>
      <c r="NL463">
        <v>0</v>
      </c>
      <c r="NM463">
        <v>0</v>
      </c>
      <c r="NN463">
        <v>0</v>
      </c>
      <c r="NO463">
        <v>0</v>
      </c>
      <c r="NP463">
        <v>0</v>
      </c>
      <c r="NQ463">
        <v>0</v>
      </c>
      <c r="NR463">
        <v>0</v>
      </c>
      <c r="NS463">
        <v>0</v>
      </c>
      <c r="NT463">
        <v>0</v>
      </c>
      <c r="NU463">
        <v>0</v>
      </c>
      <c r="NV463">
        <v>0</v>
      </c>
      <c r="NW463">
        <v>0</v>
      </c>
      <c r="NX463">
        <v>0</v>
      </c>
      <c r="NY463">
        <v>0</v>
      </c>
      <c r="NZ463">
        <v>0</v>
      </c>
      <c r="OA463">
        <v>0</v>
      </c>
      <c r="OB463">
        <v>0</v>
      </c>
      <c r="OC463">
        <v>0</v>
      </c>
      <c r="OD463">
        <v>0</v>
      </c>
      <c r="OE463">
        <v>0</v>
      </c>
      <c r="OF463">
        <v>0</v>
      </c>
      <c r="OG463">
        <v>0</v>
      </c>
      <c r="OH463">
        <v>0</v>
      </c>
      <c r="OI463">
        <v>0</v>
      </c>
      <c r="OJ463">
        <v>0</v>
      </c>
      <c r="OK463">
        <v>2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0</v>
      </c>
      <c r="OX463">
        <v>0</v>
      </c>
      <c r="OY463">
        <v>0</v>
      </c>
      <c r="OZ463">
        <v>0</v>
      </c>
      <c r="PA463">
        <v>0</v>
      </c>
      <c r="PB463">
        <v>0</v>
      </c>
      <c r="PC463">
        <v>0</v>
      </c>
      <c r="PD463">
        <v>0</v>
      </c>
      <c r="PE463">
        <v>0</v>
      </c>
      <c r="PF463">
        <v>0</v>
      </c>
      <c r="PG463">
        <v>0</v>
      </c>
      <c r="PH463">
        <v>0</v>
      </c>
      <c r="PI463">
        <v>0</v>
      </c>
      <c r="PJ463">
        <v>0</v>
      </c>
      <c r="PK463">
        <v>1</v>
      </c>
      <c r="PL463">
        <v>0</v>
      </c>
      <c r="PM463">
        <v>0</v>
      </c>
      <c r="PN463">
        <v>0</v>
      </c>
      <c r="PO463">
        <v>0</v>
      </c>
      <c r="PP463">
        <v>0</v>
      </c>
      <c r="PQ463">
        <v>0</v>
      </c>
      <c r="PR463">
        <v>0</v>
      </c>
      <c r="PS463">
        <v>0</v>
      </c>
      <c r="PT463">
        <v>0</v>
      </c>
      <c r="PU463">
        <v>0</v>
      </c>
      <c r="PV463">
        <v>0</v>
      </c>
      <c r="PW463">
        <v>0</v>
      </c>
      <c r="PX463">
        <v>0</v>
      </c>
      <c r="PY463">
        <v>0</v>
      </c>
      <c r="PZ463">
        <v>0</v>
      </c>
      <c r="QA463">
        <v>0</v>
      </c>
      <c r="QB463">
        <v>0</v>
      </c>
      <c r="QC463">
        <v>0</v>
      </c>
      <c r="QD463">
        <v>0</v>
      </c>
      <c r="QE463">
        <v>0</v>
      </c>
      <c r="QF463">
        <v>0</v>
      </c>
      <c r="QG463">
        <v>0</v>
      </c>
      <c r="QH463">
        <v>0</v>
      </c>
      <c r="QI463">
        <v>0</v>
      </c>
      <c r="QJ463">
        <v>0</v>
      </c>
      <c r="QK463">
        <v>0</v>
      </c>
      <c r="QL463">
        <v>0</v>
      </c>
      <c r="QM463">
        <v>0</v>
      </c>
      <c r="QN463">
        <v>0</v>
      </c>
      <c r="QO463">
        <v>0</v>
      </c>
      <c r="QP463">
        <v>0</v>
      </c>
      <c r="QQ463">
        <v>0</v>
      </c>
      <c r="QR463">
        <v>0</v>
      </c>
      <c r="QS463">
        <v>0</v>
      </c>
      <c r="QT463">
        <v>0</v>
      </c>
      <c r="QU463">
        <v>0</v>
      </c>
      <c r="QV463">
        <v>0</v>
      </c>
      <c r="QW463">
        <v>0</v>
      </c>
      <c r="QX463">
        <v>0</v>
      </c>
      <c r="QY463">
        <v>0</v>
      </c>
    </row>
    <row r="464" spans="2:467" hidden="1" x14ac:dyDescent="0.4">
      <c r="B464" t="str">
        <f>"9784106100031"</f>
        <v>9784106100031</v>
      </c>
      <c r="C464" t="s">
        <v>1625</v>
      </c>
      <c r="D464" t="s">
        <v>1626</v>
      </c>
      <c r="E464">
        <v>3</v>
      </c>
      <c r="G464" t="s">
        <v>516</v>
      </c>
      <c r="H464" t="str">
        <f>"0210"</f>
        <v>0210</v>
      </c>
      <c r="I464" t="s">
        <v>481</v>
      </c>
      <c r="J464" t="s">
        <v>482</v>
      </c>
      <c r="K464" t="s">
        <v>483</v>
      </c>
      <c r="L464" s="1">
        <v>37712</v>
      </c>
      <c r="M464">
        <v>780</v>
      </c>
      <c r="N464" t="str">
        <f>"491.371"</f>
        <v>491.371</v>
      </c>
      <c r="P464">
        <v>11</v>
      </c>
      <c r="Q464">
        <v>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5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1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1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1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1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1</v>
      </c>
      <c r="NG464">
        <v>0</v>
      </c>
      <c r="NH464">
        <v>0</v>
      </c>
      <c r="NI464">
        <v>0</v>
      </c>
      <c r="NJ464">
        <v>0</v>
      </c>
      <c r="NK464">
        <v>0</v>
      </c>
      <c r="NL464">
        <v>0</v>
      </c>
      <c r="NM464">
        <v>0</v>
      </c>
      <c r="NN464">
        <v>0</v>
      </c>
      <c r="NO464">
        <v>0</v>
      </c>
      <c r="NP464">
        <v>0</v>
      </c>
      <c r="NQ464">
        <v>0</v>
      </c>
      <c r="NR464">
        <v>0</v>
      </c>
      <c r="NS464">
        <v>0</v>
      </c>
      <c r="NT464">
        <v>0</v>
      </c>
      <c r="NU464">
        <v>0</v>
      </c>
      <c r="NV464">
        <v>0</v>
      </c>
      <c r="NW464">
        <v>0</v>
      </c>
      <c r="NX464">
        <v>0</v>
      </c>
      <c r="NY464">
        <v>0</v>
      </c>
      <c r="NZ464">
        <v>0</v>
      </c>
      <c r="OA464">
        <v>0</v>
      </c>
      <c r="OB464">
        <v>0</v>
      </c>
      <c r="OC464">
        <v>0</v>
      </c>
      <c r="OD464">
        <v>0</v>
      </c>
      <c r="OE464">
        <v>0</v>
      </c>
      <c r="OF464">
        <v>0</v>
      </c>
      <c r="OG464">
        <v>0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0</v>
      </c>
      <c r="PA464">
        <v>0</v>
      </c>
      <c r="PB464">
        <v>0</v>
      </c>
      <c r="PC464">
        <v>0</v>
      </c>
      <c r="PD464">
        <v>0</v>
      </c>
      <c r="PE464">
        <v>0</v>
      </c>
      <c r="PF464">
        <v>0</v>
      </c>
      <c r="PG464">
        <v>0</v>
      </c>
      <c r="PH464">
        <v>0</v>
      </c>
      <c r="PI464">
        <v>0</v>
      </c>
      <c r="PJ464">
        <v>0</v>
      </c>
      <c r="PK464">
        <v>0</v>
      </c>
      <c r="PL464">
        <v>0</v>
      </c>
      <c r="PM464">
        <v>0</v>
      </c>
      <c r="PN464">
        <v>0</v>
      </c>
      <c r="PO464">
        <v>0</v>
      </c>
      <c r="PP464">
        <v>0</v>
      </c>
      <c r="PQ464">
        <v>0</v>
      </c>
      <c r="PR464">
        <v>0</v>
      </c>
      <c r="PS464">
        <v>0</v>
      </c>
      <c r="PT464">
        <v>0</v>
      </c>
      <c r="PU464">
        <v>0</v>
      </c>
      <c r="PV464">
        <v>0</v>
      </c>
      <c r="PW464">
        <v>0</v>
      </c>
      <c r="PX464">
        <v>0</v>
      </c>
      <c r="PY464">
        <v>0</v>
      </c>
      <c r="PZ464">
        <v>0</v>
      </c>
      <c r="QA464">
        <v>0</v>
      </c>
      <c r="QB464">
        <v>0</v>
      </c>
      <c r="QC464">
        <v>0</v>
      </c>
      <c r="QD464">
        <v>0</v>
      </c>
      <c r="QE464">
        <v>0</v>
      </c>
      <c r="QF464">
        <v>0</v>
      </c>
      <c r="QG464">
        <v>0</v>
      </c>
      <c r="QH464">
        <v>0</v>
      </c>
      <c r="QI464">
        <v>0</v>
      </c>
      <c r="QJ464">
        <v>0</v>
      </c>
      <c r="QK464">
        <v>0</v>
      </c>
      <c r="QL464">
        <v>0</v>
      </c>
      <c r="QM464">
        <v>0</v>
      </c>
      <c r="QN464">
        <v>0</v>
      </c>
      <c r="QO464">
        <v>0</v>
      </c>
      <c r="QP464">
        <v>0</v>
      </c>
      <c r="QQ464">
        <v>0</v>
      </c>
      <c r="QR464">
        <v>0</v>
      </c>
      <c r="QS464">
        <v>0</v>
      </c>
      <c r="QT464">
        <v>0</v>
      </c>
      <c r="QU464">
        <v>0</v>
      </c>
      <c r="QV464">
        <v>0</v>
      </c>
      <c r="QW464">
        <v>0</v>
      </c>
      <c r="QX464">
        <v>0</v>
      </c>
      <c r="QY464">
        <v>0</v>
      </c>
    </row>
    <row r="465" spans="2:467" x14ac:dyDescent="0.4">
      <c r="B465" t="str">
        <f>"9784831826435"</f>
        <v>9784831826435</v>
      </c>
      <c r="C465" t="s">
        <v>1649</v>
      </c>
      <c r="D465" t="s">
        <v>1650</v>
      </c>
      <c r="E465" t="s">
        <v>1651</v>
      </c>
      <c r="G465" t="s">
        <v>1125</v>
      </c>
      <c r="H465" t="str">
        <f>"1115"</f>
        <v>1115</v>
      </c>
      <c r="I465" t="s">
        <v>541</v>
      </c>
      <c r="J465" t="s">
        <v>487</v>
      </c>
      <c r="K465" t="s">
        <v>1652</v>
      </c>
      <c r="L465" s="1">
        <v>44875</v>
      </c>
      <c r="M465">
        <v>2500</v>
      </c>
      <c r="N465" t="str">
        <f>"186.1"</f>
        <v>186.1</v>
      </c>
      <c r="P465">
        <v>11</v>
      </c>
      <c r="Q465">
        <v>7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1</v>
      </c>
      <c r="BH465">
        <v>0</v>
      </c>
      <c r="BI465">
        <v>0</v>
      </c>
      <c r="BJ465">
        <v>0</v>
      </c>
      <c r="BK465">
        <v>0</v>
      </c>
      <c r="BL465">
        <v>1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3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1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1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0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2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</v>
      </c>
      <c r="NJ465">
        <v>0</v>
      </c>
      <c r="NK465">
        <v>0</v>
      </c>
      <c r="NL465">
        <v>0</v>
      </c>
      <c r="NM465">
        <v>0</v>
      </c>
      <c r="NN465">
        <v>0</v>
      </c>
      <c r="NO465">
        <v>0</v>
      </c>
      <c r="NP465">
        <v>0</v>
      </c>
      <c r="NQ465">
        <v>0</v>
      </c>
      <c r="NR465">
        <v>0</v>
      </c>
      <c r="NS465">
        <v>0</v>
      </c>
      <c r="NT465">
        <v>0</v>
      </c>
      <c r="NU465">
        <v>0</v>
      </c>
      <c r="NV465">
        <v>0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C465">
        <v>0</v>
      </c>
      <c r="OD465">
        <v>0</v>
      </c>
      <c r="OE465">
        <v>0</v>
      </c>
      <c r="OF465">
        <v>0</v>
      </c>
      <c r="OG465">
        <v>0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0</v>
      </c>
      <c r="OZ465">
        <v>0</v>
      </c>
      <c r="PA465">
        <v>0</v>
      </c>
      <c r="PB465">
        <v>0</v>
      </c>
      <c r="PC465">
        <v>0</v>
      </c>
      <c r="PD465">
        <v>0</v>
      </c>
      <c r="PE465">
        <v>0</v>
      </c>
      <c r="PF465">
        <v>0</v>
      </c>
      <c r="PG465">
        <v>0</v>
      </c>
      <c r="PH465">
        <v>0</v>
      </c>
      <c r="PI465">
        <v>0</v>
      </c>
      <c r="PJ465">
        <v>0</v>
      </c>
      <c r="PK465">
        <v>0</v>
      </c>
      <c r="PL465">
        <v>0</v>
      </c>
      <c r="PM465">
        <v>0</v>
      </c>
      <c r="PN465">
        <v>0</v>
      </c>
      <c r="PO465">
        <v>0</v>
      </c>
      <c r="PP465">
        <v>0</v>
      </c>
      <c r="PQ465">
        <v>0</v>
      </c>
      <c r="PR465">
        <v>0</v>
      </c>
      <c r="PS465">
        <v>0</v>
      </c>
      <c r="PT465">
        <v>0</v>
      </c>
      <c r="PU465">
        <v>0</v>
      </c>
      <c r="PV465">
        <v>0</v>
      </c>
      <c r="PW465">
        <v>0</v>
      </c>
      <c r="PX465">
        <v>0</v>
      </c>
      <c r="PY465">
        <v>0</v>
      </c>
      <c r="PZ465">
        <v>0</v>
      </c>
      <c r="QA465">
        <v>0</v>
      </c>
      <c r="QB465">
        <v>0</v>
      </c>
      <c r="QC465">
        <v>0</v>
      </c>
      <c r="QD465">
        <v>0</v>
      </c>
      <c r="QE465">
        <v>0</v>
      </c>
      <c r="QF465">
        <v>0</v>
      </c>
      <c r="QG465">
        <v>0</v>
      </c>
      <c r="QH465">
        <v>0</v>
      </c>
      <c r="QI465">
        <v>0</v>
      </c>
      <c r="QJ465">
        <v>0</v>
      </c>
      <c r="QK465">
        <v>0</v>
      </c>
      <c r="QL465">
        <v>0</v>
      </c>
      <c r="QM465">
        <v>0</v>
      </c>
      <c r="QN465">
        <v>0</v>
      </c>
      <c r="QO465">
        <v>0</v>
      </c>
      <c r="QP465">
        <v>0</v>
      </c>
      <c r="QQ465">
        <v>0</v>
      </c>
      <c r="QR465">
        <v>0</v>
      </c>
      <c r="QS465">
        <v>0</v>
      </c>
      <c r="QT465">
        <v>0</v>
      </c>
      <c r="QU465">
        <v>0</v>
      </c>
      <c r="QV465">
        <v>0</v>
      </c>
      <c r="QW465">
        <v>0</v>
      </c>
      <c r="QX465">
        <v>0</v>
      </c>
      <c r="QY465">
        <v>0</v>
      </c>
    </row>
    <row r="466" spans="2:467" hidden="1" x14ac:dyDescent="0.4">
      <c r="B466" t="str">
        <f>"9784480069436"</f>
        <v>9784480069436</v>
      </c>
      <c r="C466" t="s">
        <v>1675</v>
      </c>
      <c r="D466" t="s">
        <v>1676</v>
      </c>
      <c r="E466">
        <v>1242</v>
      </c>
      <c r="G466" t="s">
        <v>501</v>
      </c>
      <c r="H466" t="str">
        <f>"0236"</f>
        <v>0236</v>
      </c>
      <c r="I466" t="s">
        <v>481</v>
      </c>
      <c r="J466" t="s">
        <v>482</v>
      </c>
      <c r="K466" t="s">
        <v>505</v>
      </c>
      <c r="L466" s="1">
        <v>42801</v>
      </c>
      <c r="M466">
        <v>860</v>
      </c>
      <c r="N466" t="str">
        <f>"367.9"</f>
        <v>367.9</v>
      </c>
      <c r="P466">
        <v>10</v>
      </c>
      <c r="Q466">
        <v>7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2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1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1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1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1</v>
      </c>
      <c r="MM466">
        <v>0</v>
      </c>
      <c r="MN466">
        <v>1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0</v>
      </c>
      <c r="NK466">
        <v>0</v>
      </c>
      <c r="NL466">
        <v>0</v>
      </c>
      <c r="NM466">
        <v>0</v>
      </c>
      <c r="NN466">
        <v>0</v>
      </c>
      <c r="NO466">
        <v>0</v>
      </c>
      <c r="NP466">
        <v>0</v>
      </c>
      <c r="NQ466">
        <v>0</v>
      </c>
      <c r="NR466">
        <v>0</v>
      </c>
      <c r="NS466">
        <v>0</v>
      </c>
      <c r="NT466">
        <v>0</v>
      </c>
      <c r="NU466">
        <v>0</v>
      </c>
      <c r="NV466">
        <v>0</v>
      </c>
      <c r="NW466">
        <v>0</v>
      </c>
      <c r="NX466">
        <v>0</v>
      </c>
      <c r="NY466">
        <v>3</v>
      </c>
      <c r="NZ466">
        <v>0</v>
      </c>
      <c r="OA466">
        <v>0</v>
      </c>
      <c r="OB466">
        <v>0</v>
      </c>
      <c r="OC466">
        <v>0</v>
      </c>
      <c r="OD466">
        <v>0</v>
      </c>
      <c r="OE466">
        <v>0</v>
      </c>
      <c r="OF466">
        <v>0</v>
      </c>
      <c r="OG466">
        <v>0</v>
      </c>
      <c r="OH466">
        <v>0</v>
      </c>
      <c r="OI466">
        <v>0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0</v>
      </c>
      <c r="OQ466">
        <v>0</v>
      </c>
      <c r="OR466">
        <v>0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0</v>
      </c>
      <c r="PB466">
        <v>0</v>
      </c>
      <c r="PC466">
        <v>0</v>
      </c>
      <c r="PD466">
        <v>0</v>
      </c>
      <c r="PE466">
        <v>0</v>
      </c>
      <c r="PF466">
        <v>0</v>
      </c>
      <c r="PG466">
        <v>0</v>
      </c>
      <c r="PH466">
        <v>0</v>
      </c>
      <c r="PI466">
        <v>0</v>
      </c>
      <c r="PJ466">
        <v>0</v>
      </c>
      <c r="PK466">
        <v>0</v>
      </c>
      <c r="PL466">
        <v>0</v>
      </c>
      <c r="PM466">
        <v>0</v>
      </c>
      <c r="PN466">
        <v>0</v>
      </c>
      <c r="PO466">
        <v>0</v>
      </c>
      <c r="PP466">
        <v>0</v>
      </c>
      <c r="PQ466">
        <v>0</v>
      </c>
      <c r="PR466">
        <v>0</v>
      </c>
      <c r="PS466">
        <v>0</v>
      </c>
      <c r="PT466">
        <v>0</v>
      </c>
      <c r="PU466">
        <v>0</v>
      </c>
      <c r="PV466">
        <v>0</v>
      </c>
      <c r="PW466">
        <v>0</v>
      </c>
      <c r="PX466">
        <v>0</v>
      </c>
      <c r="PY466">
        <v>0</v>
      </c>
      <c r="PZ466">
        <v>0</v>
      </c>
      <c r="QA466">
        <v>0</v>
      </c>
      <c r="QB466">
        <v>0</v>
      </c>
      <c r="QC466">
        <v>0</v>
      </c>
      <c r="QD466">
        <v>0</v>
      </c>
      <c r="QE466">
        <v>0</v>
      </c>
      <c r="QF466">
        <v>0</v>
      </c>
      <c r="QG466">
        <v>0</v>
      </c>
      <c r="QH466">
        <v>0</v>
      </c>
      <c r="QI466">
        <v>0</v>
      </c>
      <c r="QJ466">
        <v>0</v>
      </c>
      <c r="QK466">
        <v>0</v>
      </c>
      <c r="QL466">
        <v>0</v>
      </c>
      <c r="QM466">
        <v>0</v>
      </c>
      <c r="QN466">
        <v>0</v>
      </c>
      <c r="QO466">
        <v>0</v>
      </c>
      <c r="QP466">
        <v>0</v>
      </c>
      <c r="QQ466">
        <v>0</v>
      </c>
      <c r="QR466">
        <v>0</v>
      </c>
      <c r="QS466">
        <v>0</v>
      </c>
      <c r="QT466">
        <v>0</v>
      </c>
      <c r="QU466">
        <v>0</v>
      </c>
      <c r="QV466">
        <v>0</v>
      </c>
      <c r="QW466">
        <v>0</v>
      </c>
      <c r="QX466">
        <v>0</v>
      </c>
      <c r="QY466">
        <v>0</v>
      </c>
    </row>
    <row r="467" spans="2:467" hidden="1" x14ac:dyDescent="0.4">
      <c r="B467" t="str">
        <f>"9784815615833"</f>
        <v>9784815615833</v>
      </c>
      <c r="C467" t="s">
        <v>1696</v>
      </c>
      <c r="D467" t="s">
        <v>1697</v>
      </c>
      <c r="E467">
        <v>594</v>
      </c>
      <c r="G467" t="s">
        <v>666</v>
      </c>
      <c r="H467" t="str">
        <f>"0237"</f>
        <v>0237</v>
      </c>
      <c r="I467" t="s">
        <v>481</v>
      </c>
      <c r="J467" t="s">
        <v>482</v>
      </c>
      <c r="K467" t="s">
        <v>569</v>
      </c>
      <c r="L467" s="1">
        <v>44811</v>
      </c>
      <c r="M467">
        <v>900</v>
      </c>
      <c r="N467" t="str">
        <f>"378"</f>
        <v>378</v>
      </c>
      <c r="P467">
        <v>10</v>
      </c>
      <c r="Q467">
        <v>7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1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1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1</v>
      </c>
      <c r="JV467">
        <v>0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0</v>
      </c>
      <c r="KS467">
        <v>1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0</v>
      </c>
      <c r="NH467">
        <v>0</v>
      </c>
      <c r="NI467">
        <v>0</v>
      </c>
      <c r="NJ467">
        <v>0</v>
      </c>
      <c r="NK467">
        <v>0</v>
      </c>
      <c r="NL467">
        <v>0</v>
      </c>
      <c r="NM467">
        <v>0</v>
      </c>
      <c r="NN467">
        <v>0</v>
      </c>
      <c r="NO467">
        <v>0</v>
      </c>
      <c r="NP467">
        <v>0</v>
      </c>
      <c r="NQ467">
        <v>0</v>
      </c>
      <c r="NR467">
        <v>0</v>
      </c>
      <c r="NS467">
        <v>0</v>
      </c>
      <c r="NT467">
        <v>0</v>
      </c>
      <c r="NU467">
        <v>0</v>
      </c>
      <c r="NV467">
        <v>0</v>
      </c>
      <c r="NW467">
        <v>0</v>
      </c>
      <c r="NX467">
        <v>0</v>
      </c>
      <c r="NY467">
        <v>0</v>
      </c>
      <c r="NZ467">
        <v>0</v>
      </c>
      <c r="OA467">
        <v>0</v>
      </c>
      <c r="OB467">
        <v>0</v>
      </c>
      <c r="OC467">
        <v>0</v>
      </c>
      <c r="OD467">
        <v>0</v>
      </c>
      <c r="OE467">
        <v>0</v>
      </c>
      <c r="OF467">
        <v>0</v>
      </c>
      <c r="OG467">
        <v>1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3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0</v>
      </c>
      <c r="PB467">
        <v>0</v>
      </c>
      <c r="PC467">
        <v>0</v>
      </c>
      <c r="PD467">
        <v>0</v>
      </c>
      <c r="PE467">
        <v>0</v>
      </c>
      <c r="PF467">
        <v>0</v>
      </c>
      <c r="PG467">
        <v>0</v>
      </c>
      <c r="PH467">
        <v>0</v>
      </c>
      <c r="PI467">
        <v>0</v>
      </c>
      <c r="PJ467">
        <v>0</v>
      </c>
      <c r="PK467">
        <v>0</v>
      </c>
      <c r="PL467">
        <v>0</v>
      </c>
      <c r="PM467">
        <v>0</v>
      </c>
      <c r="PN467">
        <v>0</v>
      </c>
      <c r="PO467">
        <v>0</v>
      </c>
      <c r="PP467">
        <v>0</v>
      </c>
      <c r="PQ467">
        <v>0</v>
      </c>
      <c r="PR467">
        <v>0</v>
      </c>
      <c r="PS467">
        <v>0</v>
      </c>
      <c r="PT467">
        <v>0</v>
      </c>
      <c r="PU467">
        <v>0</v>
      </c>
      <c r="PV467">
        <v>0</v>
      </c>
      <c r="PW467">
        <v>0</v>
      </c>
      <c r="PX467">
        <v>0</v>
      </c>
      <c r="PY467">
        <v>0</v>
      </c>
      <c r="PZ467">
        <v>0</v>
      </c>
      <c r="QA467">
        <v>0</v>
      </c>
      <c r="QB467">
        <v>0</v>
      </c>
      <c r="QC467">
        <v>0</v>
      </c>
      <c r="QD467">
        <v>0</v>
      </c>
      <c r="QE467">
        <v>0</v>
      </c>
      <c r="QF467">
        <v>0</v>
      </c>
      <c r="QG467">
        <v>0</v>
      </c>
      <c r="QH467">
        <v>0</v>
      </c>
      <c r="QI467">
        <v>0</v>
      </c>
      <c r="QJ467">
        <v>0</v>
      </c>
      <c r="QK467">
        <v>0</v>
      </c>
      <c r="QL467">
        <v>0</v>
      </c>
      <c r="QM467">
        <v>0</v>
      </c>
      <c r="QN467">
        <v>0</v>
      </c>
      <c r="QO467">
        <v>0</v>
      </c>
      <c r="QP467">
        <v>0</v>
      </c>
      <c r="QQ467">
        <v>0</v>
      </c>
      <c r="QR467">
        <v>0</v>
      </c>
      <c r="QS467">
        <v>0</v>
      </c>
      <c r="QT467">
        <v>0</v>
      </c>
      <c r="QU467">
        <v>0</v>
      </c>
      <c r="QV467">
        <v>0</v>
      </c>
      <c r="QW467">
        <v>0</v>
      </c>
      <c r="QX467">
        <v>0</v>
      </c>
      <c r="QY467">
        <v>0</v>
      </c>
    </row>
    <row r="468" spans="2:467" hidden="1" x14ac:dyDescent="0.4">
      <c r="B468" t="str">
        <f>"9784004310464"</f>
        <v>9784004310464</v>
      </c>
      <c r="C468" t="s">
        <v>1702</v>
      </c>
      <c r="D468" t="s">
        <v>1703</v>
      </c>
      <c r="E468" t="s">
        <v>1704</v>
      </c>
      <c r="G468" t="s">
        <v>521</v>
      </c>
      <c r="H468" t="str">
        <f>"0221"</f>
        <v>0221</v>
      </c>
      <c r="I468" t="s">
        <v>481</v>
      </c>
      <c r="J468" t="s">
        <v>482</v>
      </c>
      <c r="K468" t="s">
        <v>620</v>
      </c>
      <c r="L468" s="1">
        <v>39234</v>
      </c>
      <c r="M468">
        <v>860</v>
      </c>
      <c r="N468" t="str">
        <f>"210.7"</f>
        <v>210.7</v>
      </c>
      <c r="P468">
        <v>10</v>
      </c>
      <c r="Q468">
        <v>7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1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4</v>
      </c>
      <c r="CI468">
        <v>1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1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1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1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  <c r="NK468">
        <v>0</v>
      </c>
      <c r="NL468">
        <v>0</v>
      </c>
      <c r="NM468">
        <v>0</v>
      </c>
      <c r="NN468">
        <v>0</v>
      </c>
      <c r="NO468">
        <v>0</v>
      </c>
      <c r="NP468">
        <v>0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1</v>
      </c>
      <c r="PA468">
        <v>0</v>
      </c>
      <c r="PB468">
        <v>0</v>
      </c>
      <c r="PC468">
        <v>0</v>
      </c>
      <c r="PD468">
        <v>0</v>
      </c>
      <c r="PE468">
        <v>0</v>
      </c>
      <c r="PF468">
        <v>0</v>
      </c>
      <c r="PG468">
        <v>0</v>
      </c>
      <c r="PH468">
        <v>0</v>
      </c>
      <c r="PI468">
        <v>0</v>
      </c>
      <c r="PJ468">
        <v>0</v>
      </c>
      <c r="PK468">
        <v>0</v>
      </c>
      <c r="PL468">
        <v>0</v>
      </c>
      <c r="PM468">
        <v>0</v>
      </c>
      <c r="PN468">
        <v>0</v>
      </c>
      <c r="PO468">
        <v>0</v>
      </c>
      <c r="PP468">
        <v>0</v>
      </c>
      <c r="PQ468">
        <v>0</v>
      </c>
      <c r="PR468">
        <v>0</v>
      </c>
      <c r="PS468">
        <v>0</v>
      </c>
      <c r="PT468">
        <v>0</v>
      </c>
      <c r="PU468">
        <v>0</v>
      </c>
      <c r="PV468">
        <v>0</v>
      </c>
      <c r="PW468">
        <v>0</v>
      </c>
      <c r="PX468">
        <v>0</v>
      </c>
      <c r="PY468">
        <v>0</v>
      </c>
      <c r="PZ468">
        <v>0</v>
      </c>
      <c r="QA468">
        <v>0</v>
      </c>
      <c r="QB468">
        <v>0</v>
      </c>
      <c r="QC468">
        <v>0</v>
      </c>
      <c r="QD468">
        <v>0</v>
      </c>
      <c r="QE468">
        <v>0</v>
      </c>
      <c r="QF468">
        <v>0</v>
      </c>
      <c r="QG468">
        <v>0</v>
      </c>
      <c r="QH468">
        <v>0</v>
      </c>
      <c r="QI468">
        <v>0</v>
      </c>
      <c r="QJ468">
        <v>0</v>
      </c>
      <c r="QK468">
        <v>0</v>
      </c>
      <c r="QL468">
        <v>0</v>
      </c>
      <c r="QM468">
        <v>0</v>
      </c>
      <c r="QN468">
        <v>0</v>
      </c>
      <c r="QO468">
        <v>0</v>
      </c>
      <c r="QP468">
        <v>0</v>
      </c>
      <c r="QQ468">
        <v>0</v>
      </c>
      <c r="QR468">
        <v>0</v>
      </c>
      <c r="QS468">
        <v>0</v>
      </c>
      <c r="QT468">
        <v>0</v>
      </c>
      <c r="QU468">
        <v>0</v>
      </c>
      <c r="QV468">
        <v>0</v>
      </c>
      <c r="QW468">
        <v>0</v>
      </c>
      <c r="QX468">
        <v>0</v>
      </c>
      <c r="QY468">
        <v>0</v>
      </c>
    </row>
    <row r="469" spans="2:467" x14ac:dyDescent="0.4">
      <c r="B469" t="str">
        <f>"9784480096159"</f>
        <v>9784480096159</v>
      </c>
      <c r="C469" t="s">
        <v>1760</v>
      </c>
      <c r="D469" t="s">
        <v>1761</v>
      </c>
      <c r="E469" t="s">
        <v>1762</v>
      </c>
      <c r="G469" t="s">
        <v>501</v>
      </c>
      <c r="H469" t="str">
        <f>"0110"</f>
        <v>0110</v>
      </c>
      <c r="I469" t="s">
        <v>481</v>
      </c>
      <c r="J469" t="s">
        <v>487</v>
      </c>
      <c r="K469" t="s">
        <v>483</v>
      </c>
      <c r="L469" s="1">
        <v>42224</v>
      </c>
      <c r="M469">
        <v>1500</v>
      </c>
      <c r="N469" t="str">
        <f>"135.4"</f>
        <v>135.4</v>
      </c>
      <c r="P469">
        <v>10</v>
      </c>
      <c r="Q469">
        <v>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2</v>
      </c>
      <c r="CI469">
        <v>2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1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1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1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0</v>
      </c>
      <c r="MS469">
        <v>0</v>
      </c>
      <c r="MT469">
        <v>1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0</v>
      </c>
      <c r="NL469">
        <v>0</v>
      </c>
      <c r="NM469">
        <v>0</v>
      </c>
      <c r="NN469">
        <v>0</v>
      </c>
      <c r="NO469">
        <v>0</v>
      </c>
      <c r="NP469">
        <v>0</v>
      </c>
      <c r="NQ469">
        <v>0</v>
      </c>
      <c r="NR469">
        <v>0</v>
      </c>
      <c r="NS469">
        <v>0</v>
      </c>
      <c r="NT469">
        <v>0</v>
      </c>
      <c r="NU469">
        <v>0</v>
      </c>
      <c r="NV469">
        <v>0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2</v>
      </c>
      <c r="OC469">
        <v>0</v>
      </c>
      <c r="OD469">
        <v>0</v>
      </c>
      <c r="OE469">
        <v>0</v>
      </c>
      <c r="OF469">
        <v>0</v>
      </c>
      <c r="OG469">
        <v>0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0</v>
      </c>
      <c r="PI469">
        <v>0</v>
      </c>
      <c r="PJ469">
        <v>0</v>
      </c>
      <c r="PK469">
        <v>0</v>
      </c>
      <c r="PL469">
        <v>0</v>
      </c>
      <c r="PM469">
        <v>0</v>
      </c>
      <c r="PN469">
        <v>0</v>
      </c>
      <c r="PO469">
        <v>0</v>
      </c>
      <c r="PP469">
        <v>0</v>
      </c>
      <c r="PQ469">
        <v>0</v>
      </c>
      <c r="PR469">
        <v>0</v>
      </c>
      <c r="PS469">
        <v>0</v>
      </c>
      <c r="PT469">
        <v>0</v>
      </c>
      <c r="PU469">
        <v>0</v>
      </c>
      <c r="PV469">
        <v>0</v>
      </c>
      <c r="PW469">
        <v>0</v>
      </c>
      <c r="PX469">
        <v>0</v>
      </c>
      <c r="PY469">
        <v>0</v>
      </c>
      <c r="PZ469">
        <v>0</v>
      </c>
      <c r="QA469">
        <v>0</v>
      </c>
      <c r="QB469">
        <v>0</v>
      </c>
      <c r="QC469">
        <v>0</v>
      </c>
      <c r="QD469">
        <v>0</v>
      </c>
      <c r="QE469">
        <v>0</v>
      </c>
      <c r="QF469">
        <v>0</v>
      </c>
      <c r="QG469">
        <v>0</v>
      </c>
      <c r="QH469">
        <v>0</v>
      </c>
      <c r="QI469">
        <v>0</v>
      </c>
      <c r="QJ469">
        <v>0</v>
      </c>
      <c r="QK469">
        <v>0</v>
      </c>
      <c r="QL469">
        <v>0</v>
      </c>
      <c r="QM469">
        <v>0</v>
      </c>
      <c r="QN469">
        <v>0</v>
      </c>
      <c r="QO469">
        <v>0</v>
      </c>
      <c r="QP469">
        <v>0</v>
      </c>
      <c r="QQ469">
        <v>0</v>
      </c>
      <c r="QR469">
        <v>0</v>
      </c>
      <c r="QS469">
        <v>0</v>
      </c>
      <c r="QT469">
        <v>0</v>
      </c>
      <c r="QU469">
        <v>0</v>
      </c>
      <c r="QV469">
        <v>0</v>
      </c>
      <c r="QW469">
        <v>0</v>
      </c>
      <c r="QX469">
        <v>0</v>
      </c>
      <c r="QY469">
        <v>0</v>
      </c>
    </row>
    <row r="470" spans="2:467" x14ac:dyDescent="0.4">
      <c r="B470" t="str">
        <f>"9784151200038"</f>
        <v>9784151200038</v>
      </c>
      <c r="C470" t="s">
        <v>1807</v>
      </c>
      <c r="D470" t="s">
        <v>1808</v>
      </c>
      <c r="E470" t="s">
        <v>1809</v>
      </c>
      <c r="G470" t="s">
        <v>963</v>
      </c>
      <c r="H470" t="str">
        <f>"0197"</f>
        <v>0197</v>
      </c>
      <c r="I470" t="s">
        <v>481</v>
      </c>
      <c r="J470" t="s">
        <v>487</v>
      </c>
      <c r="K470" t="s">
        <v>564</v>
      </c>
      <c r="L470" s="1">
        <v>37012</v>
      </c>
      <c r="M470">
        <v>920</v>
      </c>
      <c r="N470" t="str">
        <f>"933"</f>
        <v>933</v>
      </c>
      <c r="P470">
        <v>10</v>
      </c>
      <c r="Q470">
        <v>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2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3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1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1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1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1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0</v>
      </c>
      <c r="NL470">
        <v>0</v>
      </c>
      <c r="NM470">
        <v>0</v>
      </c>
      <c r="NN470">
        <v>0</v>
      </c>
      <c r="NO470">
        <v>0</v>
      </c>
      <c r="NP470">
        <v>0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0</v>
      </c>
      <c r="OG470">
        <v>0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0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0</v>
      </c>
      <c r="PA470">
        <v>0</v>
      </c>
      <c r="PB470">
        <v>0</v>
      </c>
      <c r="PC470">
        <v>0</v>
      </c>
      <c r="PD470">
        <v>0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0</v>
      </c>
      <c r="PN470">
        <v>0</v>
      </c>
      <c r="PO470">
        <v>0</v>
      </c>
      <c r="PP470">
        <v>0</v>
      </c>
      <c r="PQ470">
        <v>0</v>
      </c>
      <c r="PR470">
        <v>0</v>
      </c>
      <c r="PS470">
        <v>0</v>
      </c>
      <c r="PT470">
        <v>1</v>
      </c>
      <c r="PU470">
        <v>0</v>
      </c>
      <c r="PV470">
        <v>0</v>
      </c>
      <c r="PW470">
        <v>0</v>
      </c>
      <c r="PX470">
        <v>0</v>
      </c>
      <c r="PY470">
        <v>0</v>
      </c>
      <c r="PZ470">
        <v>0</v>
      </c>
      <c r="QA470">
        <v>0</v>
      </c>
      <c r="QB470">
        <v>0</v>
      </c>
      <c r="QC470">
        <v>0</v>
      </c>
      <c r="QD470">
        <v>0</v>
      </c>
      <c r="QE470">
        <v>0</v>
      </c>
      <c r="QF470">
        <v>0</v>
      </c>
      <c r="QG470">
        <v>0</v>
      </c>
      <c r="QH470">
        <v>0</v>
      </c>
      <c r="QI470">
        <v>0</v>
      </c>
      <c r="QJ470">
        <v>0</v>
      </c>
      <c r="QK470">
        <v>0</v>
      </c>
      <c r="QL470">
        <v>0</v>
      </c>
      <c r="QM470">
        <v>0</v>
      </c>
      <c r="QN470">
        <v>0</v>
      </c>
      <c r="QO470">
        <v>0</v>
      </c>
      <c r="QP470">
        <v>0</v>
      </c>
      <c r="QQ470">
        <v>0</v>
      </c>
      <c r="QR470">
        <v>0</v>
      </c>
      <c r="QS470">
        <v>0</v>
      </c>
      <c r="QT470">
        <v>0</v>
      </c>
      <c r="QU470">
        <v>0</v>
      </c>
      <c r="QV470">
        <v>0</v>
      </c>
      <c r="QW470">
        <v>0</v>
      </c>
      <c r="QX470">
        <v>0</v>
      </c>
      <c r="QY470">
        <v>0</v>
      </c>
    </row>
    <row r="471" spans="2:467" hidden="1" x14ac:dyDescent="0.4">
      <c r="B471" t="str">
        <f>"9784061488984"</f>
        <v>9784061488984</v>
      </c>
      <c r="C471" t="s">
        <v>756</v>
      </c>
      <c r="D471" t="s">
        <v>757</v>
      </c>
      <c r="E471">
        <v>898</v>
      </c>
      <c r="G471" t="s">
        <v>548</v>
      </c>
      <c r="H471" t="str">
        <f>"0210"</f>
        <v>0210</v>
      </c>
      <c r="I471" t="s">
        <v>481</v>
      </c>
      <c r="J471" t="s">
        <v>482</v>
      </c>
      <c r="K471" t="s">
        <v>483</v>
      </c>
      <c r="L471" s="1">
        <v>32264</v>
      </c>
      <c r="M471">
        <v>900</v>
      </c>
      <c r="N471" t="str">
        <f>"116.9"</f>
        <v>116.9</v>
      </c>
      <c r="P471">
        <v>36</v>
      </c>
      <c r="Q471">
        <v>6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1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26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1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0</v>
      </c>
      <c r="NL471">
        <v>0</v>
      </c>
      <c r="NM471">
        <v>0</v>
      </c>
      <c r="NN471">
        <v>0</v>
      </c>
      <c r="NO471">
        <v>0</v>
      </c>
      <c r="NP471">
        <v>0</v>
      </c>
      <c r="NQ471">
        <v>0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C471">
        <v>0</v>
      </c>
      <c r="OD471">
        <v>0</v>
      </c>
      <c r="OE471">
        <v>0</v>
      </c>
      <c r="OF471">
        <v>0</v>
      </c>
      <c r="OG471">
        <v>0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0</v>
      </c>
      <c r="PF471">
        <v>0</v>
      </c>
      <c r="PG471">
        <v>0</v>
      </c>
      <c r="PH471">
        <v>0</v>
      </c>
      <c r="PI471">
        <v>0</v>
      </c>
      <c r="PJ471">
        <v>0</v>
      </c>
      <c r="PK471">
        <v>0</v>
      </c>
      <c r="PL471">
        <v>0</v>
      </c>
      <c r="PM471">
        <v>6</v>
      </c>
      <c r="PN471">
        <v>0</v>
      </c>
      <c r="PO471">
        <v>0</v>
      </c>
      <c r="PP471">
        <v>0</v>
      </c>
      <c r="PQ471">
        <v>0</v>
      </c>
      <c r="PR471">
        <v>0</v>
      </c>
      <c r="PS471">
        <v>0</v>
      </c>
      <c r="PT471">
        <v>0</v>
      </c>
      <c r="PU471">
        <v>0</v>
      </c>
      <c r="PV471">
        <v>0</v>
      </c>
      <c r="PW471">
        <v>0</v>
      </c>
      <c r="PX471">
        <v>0</v>
      </c>
      <c r="PY471">
        <v>0</v>
      </c>
      <c r="PZ471">
        <v>0</v>
      </c>
      <c r="QA471">
        <v>0</v>
      </c>
      <c r="QB471">
        <v>0</v>
      </c>
      <c r="QC471">
        <v>0</v>
      </c>
      <c r="QD471">
        <v>0</v>
      </c>
      <c r="QE471">
        <v>0</v>
      </c>
      <c r="QF471">
        <v>0</v>
      </c>
      <c r="QG471">
        <v>0</v>
      </c>
      <c r="QH471">
        <v>0</v>
      </c>
      <c r="QI471">
        <v>0</v>
      </c>
      <c r="QJ471">
        <v>0</v>
      </c>
      <c r="QK471">
        <v>0</v>
      </c>
      <c r="QL471">
        <v>0</v>
      </c>
      <c r="QM471">
        <v>0</v>
      </c>
      <c r="QN471">
        <v>0</v>
      </c>
      <c r="QO471">
        <v>0</v>
      </c>
      <c r="QP471">
        <v>0</v>
      </c>
      <c r="QQ471">
        <v>0</v>
      </c>
      <c r="QR471">
        <v>0</v>
      </c>
      <c r="QS471">
        <v>0</v>
      </c>
      <c r="QT471">
        <v>0</v>
      </c>
      <c r="QU471">
        <v>0</v>
      </c>
      <c r="QV471">
        <v>0</v>
      </c>
      <c r="QW471">
        <v>0</v>
      </c>
      <c r="QX471">
        <v>0</v>
      </c>
      <c r="QY471">
        <v>0</v>
      </c>
    </row>
    <row r="472" spans="2:467" hidden="1" x14ac:dyDescent="0.4">
      <c r="B472" t="str">
        <f>"9784005002764"</f>
        <v>9784005002764</v>
      </c>
      <c r="C472" t="s">
        <v>1135</v>
      </c>
      <c r="D472" t="s">
        <v>1136</v>
      </c>
      <c r="E472">
        <v>276</v>
      </c>
      <c r="G472" t="s">
        <v>521</v>
      </c>
      <c r="H472" t="str">
        <f>"0222"</f>
        <v>0222</v>
      </c>
      <c r="I472" t="s">
        <v>481</v>
      </c>
      <c r="J472" t="s">
        <v>482</v>
      </c>
      <c r="K472" t="s">
        <v>579</v>
      </c>
      <c r="L472" s="1">
        <v>35247</v>
      </c>
      <c r="M472">
        <v>840</v>
      </c>
      <c r="N472" t="str">
        <f>"K588"</f>
        <v>K588</v>
      </c>
      <c r="P472">
        <v>17</v>
      </c>
      <c r="Q472">
        <v>6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12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1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1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1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1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0</v>
      </c>
      <c r="NL472">
        <v>0</v>
      </c>
      <c r="NM472">
        <v>0</v>
      </c>
      <c r="NN472">
        <v>0</v>
      </c>
      <c r="NO472">
        <v>0</v>
      </c>
      <c r="NP472">
        <v>0</v>
      </c>
      <c r="NQ472">
        <v>0</v>
      </c>
      <c r="NR472">
        <v>0</v>
      </c>
      <c r="NS472">
        <v>0</v>
      </c>
      <c r="NT472">
        <v>0</v>
      </c>
      <c r="NU472">
        <v>0</v>
      </c>
      <c r="NV472">
        <v>0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1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0</v>
      </c>
      <c r="PJ472">
        <v>0</v>
      </c>
      <c r="PK472">
        <v>0</v>
      </c>
      <c r="PL472">
        <v>0</v>
      </c>
      <c r="PM472">
        <v>0</v>
      </c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</row>
    <row r="473" spans="2:467" hidden="1" x14ac:dyDescent="0.4">
      <c r="B473" t="str">
        <f>"9784121025807"</f>
        <v>9784121025807</v>
      </c>
      <c r="C473" t="s">
        <v>1200</v>
      </c>
      <c r="D473" t="s">
        <v>1201</v>
      </c>
      <c r="E473">
        <v>2580</v>
      </c>
      <c r="G473" t="s">
        <v>540</v>
      </c>
      <c r="H473" t="str">
        <f>"1236"</f>
        <v>1236</v>
      </c>
      <c r="I473" t="s">
        <v>541</v>
      </c>
      <c r="J473" t="s">
        <v>482</v>
      </c>
      <c r="K473" t="s">
        <v>505</v>
      </c>
      <c r="L473" s="1">
        <v>43880</v>
      </c>
      <c r="M473">
        <v>900</v>
      </c>
      <c r="N473" t="str">
        <f>"334.41"</f>
        <v>334.41</v>
      </c>
      <c r="P473">
        <v>16</v>
      </c>
      <c r="Q473">
        <v>6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1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1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10</v>
      </c>
      <c r="IU473">
        <v>0</v>
      </c>
      <c r="IV473">
        <v>0</v>
      </c>
      <c r="IW473">
        <v>0</v>
      </c>
      <c r="IX473">
        <v>0</v>
      </c>
      <c r="IY473">
        <v>2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1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0</v>
      </c>
      <c r="NM473">
        <v>0</v>
      </c>
      <c r="NN473">
        <v>0</v>
      </c>
      <c r="NO473">
        <v>0</v>
      </c>
      <c r="NP473">
        <v>0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0</v>
      </c>
      <c r="NZ473">
        <v>0</v>
      </c>
      <c r="OA473">
        <v>0</v>
      </c>
      <c r="OB473">
        <v>0</v>
      </c>
      <c r="OC473">
        <v>0</v>
      </c>
      <c r="OD473">
        <v>0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  <c r="PB473">
        <v>0</v>
      </c>
      <c r="PC473">
        <v>0</v>
      </c>
      <c r="PD473">
        <v>0</v>
      </c>
      <c r="PE473">
        <v>0</v>
      </c>
      <c r="PF473">
        <v>0</v>
      </c>
      <c r="PG473">
        <v>0</v>
      </c>
      <c r="PH473">
        <v>0</v>
      </c>
      <c r="PI473">
        <v>0</v>
      </c>
      <c r="PJ473">
        <v>0</v>
      </c>
      <c r="PK473">
        <v>0</v>
      </c>
      <c r="PL473">
        <v>0</v>
      </c>
      <c r="PM473">
        <v>0</v>
      </c>
      <c r="PN473">
        <v>0</v>
      </c>
      <c r="PO473">
        <v>0</v>
      </c>
      <c r="PP473">
        <v>0</v>
      </c>
      <c r="PQ473">
        <v>0</v>
      </c>
      <c r="PR473">
        <v>0</v>
      </c>
      <c r="PS473">
        <v>0</v>
      </c>
      <c r="PT473">
        <v>0</v>
      </c>
      <c r="PU473">
        <v>0</v>
      </c>
      <c r="PV473">
        <v>0</v>
      </c>
      <c r="PW473">
        <v>0</v>
      </c>
      <c r="PX473">
        <v>0</v>
      </c>
      <c r="PY473">
        <v>0</v>
      </c>
      <c r="PZ473">
        <v>0</v>
      </c>
      <c r="QA473">
        <v>0</v>
      </c>
      <c r="QB473">
        <v>0</v>
      </c>
      <c r="QC473">
        <v>0</v>
      </c>
      <c r="QD473">
        <v>0</v>
      </c>
      <c r="QE473">
        <v>0</v>
      </c>
      <c r="QF473">
        <v>0</v>
      </c>
      <c r="QG473">
        <v>0</v>
      </c>
      <c r="QH473">
        <v>0</v>
      </c>
      <c r="QI473">
        <v>0</v>
      </c>
      <c r="QJ473">
        <v>0</v>
      </c>
      <c r="QK473">
        <v>1</v>
      </c>
      <c r="QL473">
        <v>0</v>
      </c>
      <c r="QM473">
        <v>0</v>
      </c>
      <c r="QN473">
        <v>0</v>
      </c>
      <c r="QO473">
        <v>0</v>
      </c>
      <c r="QP473">
        <v>0</v>
      </c>
      <c r="QQ473">
        <v>0</v>
      </c>
      <c r="QR473">
        <v>0</v>
      </c>
      <c r="QS473">
        <v>0</v>
      </c>
      <c r="QT473">
        <v>0</v>
      </c>
      <c r="QU473">
        <v>0</v>
      </c>
      <c r="QV473">
        <v>0</v>
      </c>
      <c r="QW473">
        <v>0</v>
      </c>
      <c r="QX473">
        <v>0</v>
      </c>
      <c r="QY473">
        <v>0</v>
      </c>
    </row>
    <row r="474" spans="2:467" x14ac:dyDescent="0.4">
      <c r="B474" t="str">
        <f>"9784003310236"</f>
        <v>9784003310236</v>
      </c>
      <c r="C474" t="s">
        <v>1535</v>
      </c>
      <c r="D474" t="s">
        <v>1129</v>
      </c>
      <c r="E474" t="s">
        <v>1536</v>
      </c>
      <c r="G474" t="s">
        <v>521</v>
      </c>
      <c r="H474" t="str">
        <f>"0137"</f>
        <v>0137</v>
      </c>
      <c r="I474" t="s">
        <v>481</v>
      </c>
      <c r="J474" t="s">
        <v>487</v>
      </c>
      <c r="K474" t="s">
        <v>569</v>
      </c>
      <c r="L474" s="1">
        <v>39798</v>
      </c>
      <c r="M474">
        <v>780</v>
      </c>
      <c r="N474" t="str">
        <f>"370.4"</f>
        <v>370.4</v>
      </c>
      <c r="P474">
        <v>12</v>
      </c>
      <c r="Q474">
        <v>6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1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7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1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0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0</v>
      </c>
      <c r="ND474">
        <v>0</v>
      </c>
      <c r="NE474">
        <v>0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0</v>
      </c>
      <c r="NL474">
        <v>0</v>
      </c>
      <c r="NM474">
        <v>0</v>
      </c>
      <c r="NN474">
        <v>0</v>
      </c>
      <c r="NO474">
        <v>0</v>
      </c>
      <c r="NP474">
        <v>0</v>
      </c>
      <c r="NQ474">
        <v>0</v>
      </c>
      <c r="NR474">
        <v>0</v>
      </c>
      <c r="NS474">
        <v>0</v>
      </c>
      <c r="NT474">
        <v>0</v>
      </c>
      <c r="NU474">
        <v>0</v>
      </c>
      <c r="NV474">
        <v>0</v>
      </c>
      <c r="NW474">
        <v>0</v>
      </c>
      <c r="NX474">
        <v>0</v>
      </c>
      <c r="NY474">
        <v>0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0</v>
      </c>
      <c r="OF474">
        <v>0</v>
      </c>
      <c r="OG474">
        <v>0</v>
      </c>
      <c r="OH474">
        <v>0</v>
      </c>
      <c r="OI474">
        <v>0</v>
      </c>
      <c r="OJ474">
        <v>0</v>
      </c>
      <c r="OK474">
        <v>0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0</v>
      </c>
      <c r="OU474">
        <v>0</v>
      </c>
      <c r="OV474">
        <v>0</v>
      </c>
      <c r="OW474">
        <v>0</v>
      </c>
      <c r="OX474">
        <v>0</v>
      </c>
      <c r="OY474">
        <v>0</v>
      </c>
      <c r="OZ474">
        <v>0</v>
      </c>
      <c r="PA474">
        <v>0</v>
      </c>
      <c r="PB474">
        <v>0</v>
      </c>
      <c r="PC474">
        <v>0</v>
      </c>
      <c r="PD474">
        <v>0</v>
      </c>
      <c r="PE474">
        <v>0</v>
      </c>
      <c r="PF474">
        <v>0</v>
      </c>
      <c r="PG474">
        <v>0</v>
      </c>
      <c r="PH474">
        <v>0</v>
      </c>
      <c r="PI474">
        <v>0</v>
      </c>
      <c r="PJ474">
        <v>0</v>
      </c>
      <c r="PK474">
        <v>0</v>
      </c>
      <c r="PL474">
        <v>0</v>
      </c>
      <c r="PM474">
        <v>0</v>
      </c>
      <c r="PN474">
        <v>0</v>
      </c>
      <c r="PO474">
        <v>0</v>
      </c>
      <c r="PP474">
        <v>0</v>
      </c>
      <c r="PQ474">
        <v>0</v>
      </c>
      <c r="PR474">
        <v>0</v>
      </c>
      <c r="PS474">
        <v>0</v>
      </c>
      <c r="PT474">
        <v>0</v>
      </c>
      <c r="PU474">
        <v>0</v>
      </c>
      <c r="PV474">
        <v>0</v>
      </c>
      <c r="PW474">
        <v>0</v>
      </c>
      <c r="PX474">
        <v>0</v>
      </c>
      <c r="PY474">
        <v>0</v>
      </c>
      <c r="PZ474">
        <v>0</v>
      </c>
      <c r="QA474">
        <v>0</v>
      </c>
      <c r="QB474">
        <v>0</v>
      </c>
      <c r="QC474">
        <v>0</v>
      </c>
      <c r="QD474">
        <v>0</v>
      </c>
      <c r="QE474">
        <v>0</v>
      </c>
      <c r="QF474">
        <v>0</v>
      </c>
      <c r="QG474">
        <v>0</v>
      </c>
      <c r="QH474">
        <v>0</v>
      </c>
      <c r="QI474">
        <v>0</v>
      </c>
      <c r="QJ474">
        <v>0</v>
      </c>
      <c r="QK474">
        <v>0</v>
      </c>
      <c r="QL474">
        <v>0</v>
      </c>
      <c r="QM474">
        <v>0</v>
      </c>
      <c r="QN474">
        <v>0</v>
      </c>
      <c r="QO474">
        <v>0</v>
      </c>
      <c r="QP474">
        <v>0</v>
      </c>
      <c r="QQ474">
        <v>0</v>
      </c>
      <c r="QR474">
        <v>0</v>
      </c>
      <c r="QS474">
        <v>0</v>
      </c>
      <c r="QT474">
        <v>0</v>
      </c>
      <c r="QU474">
        <v>0</v>
      </c>
      <c r="QV474">
        <v>0</v>
      </c>
      <c r="QW474">
        <v>0</v>
      </c>
      <c r="QX474">
        <v>0</v>
      </c>
      <c r="QY474">
        <v>0</v>
      </c>
    </row>
    <row r="475" spans="2:467" hidden="1" x14ac:dyDescent="0.4">
      <c r="B475" t="str">
        <f>"9784480072375"</f>
        <v>9784480072375</v>
      </c>
      <c r="C475" t="s">
        <v>1707</v>
      </c>
      <c r="D475" t="s">
        <v>1708</v>
      </c>
      <c r="E475">
        <v>1422</v>
      </c>
      <c r="G475" t="s">
        <v>501</v>
      </c>
      <c r="H475" t="str">
        <f>"0237"</f>
        <v>0237</v>
      </c>
      <c r="I475" t="s">
        <v>481</v>
      </c>
      <c r="J475" t="s">
        <v>482</v>
      </c>
      <c r="K475" t="s">
        <v>569</v>
      </c>
      <c r="L475" s="1">
        <v>43651</v>
      </c>
      <c r="M475">
        <v>1000</v>
      </c>
      <c r="N475" t="str">
        <f>"372.1"</f>
        <v>372.1</v>
      </c>
      <c r="P475">
        <v>10</v>
      </c>
      <c r="Q475">
        <v>6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5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1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1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1</v>
      </c>
      <c r="NF475">
        <v>0</v>
      </c>
      <c r="NG475">
        <v>0</v>
      </c>
      <c r="NH475">
        <v>0</v>
      </c>
      <c r="NI475">
        <v>0</v>
      </c>
      <c r="NJ475">
        <v>0</v>
      </c>
      <c r="NK475">
        <v>0</v>
      </c>
      <c r="NL475">
        <v>0</v>
      </c>
      <c r="NM475">
        <v>0</v>
      </c>
      <c r="NN475">
        <v>0</v>
      </c>
      <c r="NO475">
        <v>0</v>
      </c>
      <c r="NP475">
        <v>0</v>
      </c>
      <c r="NQ475">
        <v>0</v>
      </c>
      <c r="NR475">
        <v>0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1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0</v>
      </c>
      <c r="OF475">
        <v>0</v>
      </c>
      <c r="OG475">
        <v>0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0</v>
      </c>
      <c r="PH475">
        <v>0</v>
      </c>
      <c r="PI475">
        <v>0</v>
      </c>
      <c r="PJ475">
        <v>0</v>
      </c>
      <c r="PK475">
        <v>0</v>
      </c>
      <c r="PL475">
        <v>0</v>
      </c>
      <c r="PM475">
        <v>0</v>
      </c>
      <c r="PN475">
        <v>0</v>
      </c>
      <c r="PO475">
        <v>0</v>
      </c>
      <c r="PP475">
        <v>0</v>
      </c>
      <c r="PQ475">
        <v>0</v>
      </c>
      <c r="PR475">
        <v>0</v>
      </c>
      <c r="PS475">
        <v>0</v>
      </c>
      <c r="PT475">
        <v>0</v>
      </c>
      <c r="PU475">
        <v>0</v>
      </c>
      <c r="PV475">
        <v>0</v>
      </c>
      <c r="PW475">
        <v>0</v>
      </c>
      <c r="PX475">
        <v>0</v>
      </c>
      <c r="PY475">
        <v>0</v>
      </c>
      <c r="PZ475">
        <v>0</v>
      </c>
      <c r="QA475">
        <v>0</v>
      </c>
      <c r="QB475">
        <v>1</v>
      </c>
      <c r="QC475">
        <v>0</v>
      </c>
      <c r="QD475">
        <v>0</v>
      </c>
      <c r="QE475">
        <v>0</v>
      </c>
      <c r="QF475">
        <v>0</v>
      </c>
      <c r="QG475">
        <v>0</v>
      </c>
      <c r="QH475">
        <v>0</v>
      </c>
      <c r="QI475">
        <v>0</v>
      </c>
      <c r="QJ475">
        <v>0</v>
      </c>
      <c r="QK475">
        <v>0</v>
      </c>
      <c r="QL475">
        <v>0</v>
      </c>
      <c r="QM475">
        <v>0</v>
      </c>
      <c r="QN475">
        <v>0</v>
      </c>
      <c r="QO475">
        <v>0</v>
      </c>
      <c r="QP475">
        <v>0</v>
      </c>
      <c r="QQ475">
        <v>0</v>
      </c>
      <c r="QR475">
        <v>0</v>
      </c>
      <c r="QS475">
        <v>0</v>
      </c>
      <c r="QT475">
        <v>0</v>
      </c>
      <c r="QU475">
        <v>0</v>
      </c>
      <c r="QV475">
        <v>0</v>
      </c>
      <c r="QW475">
        <v>0</v>
      </c>
      <c r="QX475">
        <v>0</v>
      </c>
      <c r="QY475">
        <v>0</v>
      </c>
    </row>
    <row r="476" spans="2:467" x14ac:dyDescent="0.4">
      <c r="B476" t="str">
        <f>"9784794223074"</f>
        <v>9784794223074</v>
      </c>
      <c r="C476" t="s">
        <v>1731</v>
      </c>
      <c r="D476" t="s">
        <v>1732</v>
      </c>
      <c r="E476" t="s">
        <v>1733</v>
      </c>
      <c r="G476" t="s">
        <v>848</v>
      </c>
      <c r="H476" t="str">
        <f>"0195"</f>
        <v>0195</v>
      </c>
      <c r="I476" t="s">
        <v>481</v>
      </c>
      <c r="J476" t="s">
        <v>487</v>
      </c>
      <c r="K476" t="s">
        <v>509</v>
      </c>
      <c r="L476" s="1">
        <v>43074</v>
      </c>
      <c r="M476">
        <v>650</v>
      </c>
      <c r="N476" t="str">
        <f>"379.7"</f>
        <v>379.7</v>
      </c>
      <c r="P476">
        <v>10</v>
      </c>
      <c r="Q476">
        <v>6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4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2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1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1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  <c r="NK476">
        <v>0</v>
      </c>
      <c r="NL476">
        <v>0</v>
      </c>
      <c r="NM476">
        <v>0</v>
      </c>
      <c r="NN476">
        <v>0</v>
      </c>
      <c r="NO476">
        <v>0</v>
      </c>
      <c r="NP476">
        <v>0</v>
      </c>
      <c r="NQ476">
        <v>0</v>
      </c>
      <c r="NR476">
        <v>1</v>
      </c>
      <c r="NS476">
        <v>0</v>
      </c>
      <c r="NT476">
        <v>0</v>
      </c>
      <c r="NU476">
        <v>0</v>
      </c>
      <c r="NV476">
        <v>0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C476">
        <v>0</v>
      </c>
      <c r="OD476">
        <v>0</v>
      </c>
      <c r="OE476">
        <v>0</v>
      </c>
      <c r="OF476">
        <v>0</v>
      </c>
      <c r="OG476">
        <v>0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0</v>
      </c>
      <c r="PJ476">
        <v>0</v>
      </c>
      <c r="PK476">
        <v>0</v>
      </c>
      <c r="PL476">
        <v>0</v>
      </c>
      <c r="PM476">
        <v>1</v>
      </c>
      <c r="PN476">
        <v>0</v>
      </c>
      <c r="PO476">
        <v>0</v>
      </c>
      <c r="PP476">
        <v>0</v>
      </c>
      <c r="PQ476">
        <v>0</v>
      </c>
      <c r="PR476">
        <v>0</v>
      </c>
      <c r="PS476">
        <v>0</v>
      </c>
      <c r="PT476">
        <v>0</v>
      </c>
      <c r="PU476">
        <v>0</v>
      </c>
      <c r="PV476">
        <v>0</v>
      </c>
      <c r="PW476">
        <v>0</v>
      </c>
      <c r="PX476">
        <v>0</v>
      </c>
      <c r="PY476">
        <v>0</v>
      </c>
      <c r="PZ476">
        <v>0</v>
      </c>
      <c r="QA476">
        <v>0</v>
      </c>
      <c r="QB476">
        <v>0</v>
      </c>
      <c r="QC476">
        <v>0</v>
      </c>
      <c r="QD476">
        <v>0</v>
      </c>
      <c r="QE476">
        <v>0</v>
      </c>
      <c r="QF476">
        <v>0</v>
      </c>
      <c r="QG476">
        <v>0</v>
      </c>
      <c r="QH476">
        <v>0</v>
      </c>
      <c r="QI476">
        <v>0</v>
      </c>
      <c r="QJ476">
        <v>0</v>
      </c>
      <c r="QK476">
        <v>0</v>
      </c>
      <c r="QL476">
        <v>0</v>
      </c>
      <c r="QM476">
        <v>0</v>
      </c>
      <c r="QN476">
        <v>0</v>
      </c>
      <c r="QO476">
        <v>0</v>
      </c>
      <c r="QP476">
        <v>0</v>
      </c>
      <c r="QQ476">
        <v>0</v>
      </c>
      <c r="QR476">
        <v>0</v>
      </c>
      <c r="QS476">
        <v>0</v>
      </c>
      <c r="QT476">
        <v>0</v>
      </c>
      <c r="QU476">
        <v>0</v>
      </c>
      <c r="QV476">
        <v>0</v>
      </c>
      <c r="QW476">
        <v>0</v>
      </c>
      <c r="QX476">
        <v>0</v>
      </c>
      <c r="QY476">
        <v>0</v>
      </c>
    </row>
    <row r="477" spans="2:467" x14ac:dyDescent="0.4">
      <c r="B477" t="str">
        <f>"9784480421579"</f>
        <v>9784480421579</v>
      </c>
      <c r="C477" t="s">
        <v>1758</v>
      </c>
      <c r="D477" t="s">
        <v>1544</v>
      </c>
      <c r="E477" t="s">
        <v>1759</v>
      </c>
      <c r="G477" t="s">
        <v>501</v>
      </c>
      <c r="H477" t="str">
        <f>"0137"</f>
        <v>0137</v>
      </c>
      <c r="I477" t="s">
        <v>481</v>
      </c>
      <c r="J477" t="s">
        <v>487</v>
      </c>
      <c r="K477" t="s">
        <v>569</v>
      </c>
      <c r="L477" s="1">
        <v>38687</v>
      </c>
      <c r="M477">
        <v>700</v>
      </c>
      <c r="N477" t="str">
        <f>"370.4"</f>
        <v>370.4</v>
      </c>
      <c r="P477">
        <v>10</v>
      </c>
      <c r="Q477">
        <v>6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1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1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1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0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5</v>
      </c>
      <c r="NF477">
        <v>0</v>
      </c>
      <c r="NG477">
        <v>0</v>
      </c>
      <c r="NH477">
        <v>0</v>
      </c>
      <c r="NI477">
        <v>0</v>
      </c>
      <c r="NJ477">
        <v>0</v>
      </c>
      <c r="NK477">
        <v>0</v>
      </c>
      <c r="NL477">
        <v>0</v>
      </c>
      <c r="NM477">
        <v>0</v>
      </c>
      <c r="NN477">
        <v>0</v>
      </c>
      <c r="NO477">
        <v>0</v>
      </c>
      <c r="NP477">
        <v>0</v>
      </c>
      <c r="NQ477">
        <v>0</v>
      </c>
      <c r="NR477">
        <v>0</v>
      </c>
      <c r="NS477">
        <v>0</v>
      </c>
      <c r="NT477">
        <v>0</v>
      </c>
      <c r="NU477">
        <v>0</v>
      </c>
      <c r="NV477">
        <v>0</v>
      </c>
      <c r="NW477">
        <v>0</v>
      </c>
      <c r="NX477">
        <v>0</v>
      </c>
      <c r="NY477">
        <v>0</v>
      </c>
      <c r="NZ477">
        <v>0</v>
      </c>
      <c r="OA477">
        <v>0</v>
      </c>
      <c r="OB477">
        <v>0</v>
      </c>
      <c r="OC477">
        <v>0</v>
      </c>
      <c r="OD477">
        <v>0</v>
      </c>
      <c r="OE477">
        <v>0</v>
      </c>
      <c r="OF477">
        <v>0</v>
      </c>
      <c r="OG477">
        <v>0</v>
      </c>
      <c r="OH477">
        <v>0</v>
      </c>
      <c r="OI477">
        <v>0</v>
      </c>
      <c r="OJ477">
        <v>0</v>
      </c>
      <c r="OK477">
        <v>0</v>
      </c>
      <c r="OL477">
        <v>0</v>
      </c>
      <c r="OM477">
        <v>0</v>
      </c>
      <c r="ON477">
        <v>0</v>
      </c>
      <c r="OO477">
        <v>0</v>
      </c>
      <c r="OP477">
        <v>0</v>
      </c>
      <c r="OQ477">
        <v>0</v>
      </c>
      <c r="OR477">
        <v>0</v>
      </c>
      <c r="OS477">
        <v>0</v>
      </c>
      <c r="OT477">
        <v>1</v>
      </c>
      <c r="OU477">
        <v>0</v>
      </c>
      <c r="OV477">
        <v>0</v>
      </c>
      <c r="OW477">
        <v>0</v>
      </c>
      <c r="OX477">
        <v>0</v>
      </c>
      <c r="OY477">
        <v>0</v>
      </c>
      <c r="OZ477">
        <v>0</v>
      </c>
      <c r="PA477">
        <v>0</v>
      </c>
      <c r="PB477">
        <v>0</v>
      </c>
      <c r="PC477">
        <v>0</v>
      </c>
      <c r="PD477">
        <v>0</v>
      </c>
      <c r="PE477">
        <v>0</v>
      </c>
      <c r="PF477">
        <v>0</v>
      </c>
      <c r="PG477">
        <v>0</v>
      </c>
      <c r="PH477">
        <v>0</v>
      </c>
      <c r="PI477">
        <v>0</v>
      </c>
      <c r="PJ477">
        <v>0</v>
      </c>
      <c r="PK477">
        <v>0</v>
      </c>
      <c r="PL477">
        <v>1</v>
      </c>
      <c r="PM477">
        <v>0</v>
      </c>
      <c r="PN477">
        <v>0</v>
      </c>
      <c r="PO477">
        <v>0</v>
      </c>
      <c r="PP477">
        <v>0</v>
      </c>
      <c r="PQ477">
        <v>0</v>
      </c>
      <c r="PR477">
        <v>0</v>
      </c>
      <c r="PS477">
        <v>0</v>
      </c>
      <c r="PT477">
        <v>0</v>
      </c>
      <c r="PU477">
        <v>0</v>
      </c>
      <c r="PV477">
        <v>0</v>
      </c>
      <c r="PW477">
        <v>0</v>
      </c>
      <c r="PX477">
        <v>0</v>
      </c>
      <c r="PY477">
        <v>0</v>
      </c>
      <c r="PZ477">
        <v>0</v>
      </c>
      <c r="QA477">
        <v>0</v>
      </c>
      <c r="QB477">
        <v>0</v>
      </c>
      <c r="QC477">
        <v>0</v>
      </c>
      <c r="QD477">
        <v>0</v>
      </c>
      <c r="QE477">
        <v>0</v>
      </c>
      <c r="QF477">
        <v>0</v>
      </c>
      <c r="QG477">
        <v>0</v>
      </c>
      <c r="QH477">
        <v>0</v>
      </c>
      <c r="QI477">
        <v>0</v>
      </c>
      <c r="QJ477">
        <v>0</v>
      </c>
      <c r="QK477">
        <v>0</v>
      </c>
      <c r="QL477">
        <v>0</v>
      </c>
      <c r="QM477">
        <v>0</v>
      </c>
      <c r="QN477">
        <v>0</v>
      </c>
      <c r="QO477">
        <v>0</v>
      </c>
      <c r="QP477">
        <v>0</v>
      </c>
      <c r="QQ477">
        <v>0</v>
      </c>
      <c r="QR477">
        <v>0</v>
      </c>
      <c r="QS477">
        <v>0</v>
      </c>
      <c r="QT477">
        <v>0</v>
      </c>
      <c r="QU477">
        <v>0</v>
      </c>
      <c r="QV477">
        <v>0</v>
      </c>
      <c r="QW477">
        <v>0</v>
      </c>
      <c r="QX477">
        <v>0</v>
      </c>
      <c r="QY477">
        <v>0</v>
      </c>
    </row>
    <row r="478" spans="2:467" x14ac:dyDescent="0.4">
      <c r="B478" t="str">
        <f>"9784043520107"</f>
        <v>9784043520107</v>
      </c>
      <c r="C478" t="s">
        <v>484</v>
      </c>
      <c r="D478" t="s">
        <v>485</v>
      </c>
      <c r="E478">
        <v>10708</v>
      </c>
      <c r="G478" t="s">
        <v>486</v>
      </c>
      <c r="H478" t="str">
        <f>"0193"</f>
        <v>0193</v>
      </c>
      <c r="I478" t="s">
        <v>481</v>
      </c>
      <c r="J478" t="s">
        <v>487</v>
      </c>
      <c r="K478" t="s">
        <v>488</v>
      </c>
      <c r="L478" s="1">
        <v>35947</v>
      </c>
      <c r="M478">
        <v>720</v>
      </c>
      <c r="N478" t="str">
        <f>"913.6"</f>
        <v>913.6</v>
      </c>
      <c r="P478">
        <v>264</v>
      </c>
      <c r="Q478">
        <v>5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1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1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1</v>
      </c>
      <c r="JR478">
        <v>0</v>
      </c>
      <c r="JS478">
        <v>0</v>
      </c>
      <c r="JT478">
        <v>46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0</v>
      </c>
      <c r="NL478">
        <v>0</v>
      </c>
      <c r="NM478">
        <v>0</v>
      </c>
      <c r="NN478">
        <v>0</v>
      </c>
      <c r="NO478">
        <v>0</v>
      </c>
      <c r="NP478">
        <v>0</v>
      </c>
      <c r="NQ478">
        <v>0</v>
      </c>
      <c r="NR478">
        <v>0</v>
      </c>
      <c r="NS478">
        <v>0</v>
      </c>
      <c r="NT478">
        <v>0</v>
      </c>
      <c r="NU478">
        <v>0</v>
      </c>
      <c r="NV478">
        <v>0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C478">
        <v>0</v>
      </c>
      <c r="OD478">
        <v>0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0</v>
      </c>
      <c r="OZ478">
        <v>0</v>
      </c>
      <c r="PA478">
        <v>0</v>
      </c>
      <c r="PB478">
        <v>0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0</v>
      </c>
      <c r="PN478">
        <v>0</v>
      </c>
      <c r="PO478">
        <v>0</v>
      </c>
      <c r="PP478">
        <v>0</v>
      </c>
      <c r="PQ478">
        <v>0</v>
      </c>
      <c r="PR478">
        <v>0</v>
      </c>
      <c r="PS478">
        <v>0</v>
      </c>
      <c r="PT478">
        <v>215</v>
      </c>
      <c r="PU478">
        <v>0</v>
      </c>
      <c r="PV478">
        <v>0</v>
      </c>
      <c r="PW478">
        <v>0</v>
      </c>
      <c r="PX478">
        <v>0</v>
      </c>
      <c r="PY478">
        <v>0</v>
      </c>
      <c r="PZ478">
        <v>0</v>
      </c>
      <c r="QA478">
        <v>0</v>
      </c>
      <c r="QB478">
        <v>0</v>
      </c>
      <c r="QC478">
        <v>0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</v>
      </c>
      <c r="QJ478">
        <v>0</v>
      </c>
      <c r="QK478">
        <v>0</v>
      </c>
      <c r="QL478">
        <v>0</v>
      </c>
      <c r="QM478">
        <v>0</v>
      </c>
      <c r="QN478">
        <v>0</v>
      </c>
      <c r="QO478">
        <v>0</v>
      </c>
      <c r="QP478">
        <v>0</v>
      </c>
      <c r="QQ478">
        <v>0</v>
      </c>
      <c r="QR478">
        <v>0</v>
      </c>
      <c r="QS478">
        <v>0</v>
      </c>
      <c r="QT478">
        <v>0</v>
      </c>
      <c r="QU478">
        <v>0</v>
      </c>
      <c r="QV478">
        <v>0</v>
      </c>
      <c r="QW478">
        <v>0</v>
      </c>
      <c r="QX478">
        <v>0</v>
      </c>
      <c r="QY478">
        <v>0</v>
      </c>
    </row>
    <row r="479" spans="2:467" x14ac:dyDescent="0.4">
      <c r="B479" t="str">
        <f>"9784480095251"</f>
        <v>9784480095251</v>
      </c>
      <c r="C479" t="s">
        <v>647</v>
      </c>
      <c r="D479" t="s">
        <v>648</v>
      </c>
      <c r="E479" t="s">
        <v>649</v>
      </c>
      <c r="G479" t="s">
        <v>501</v>
      </c>
      <c r="H479" t="str">
        <f>"0141"</f>
        <v>0141</v>
      </c>
      <c r="I479" t="s">
        <v>481</v>
      </c>
      <c r="J479" t="s">
        <v>487</v>
      </c>
      <c r="K479" t="s">
        <v>604</v>
      </c>
      <c r="L479" s="1">
        <v>41376</v>
      </c>
      <c r="M479">
        <v>950</v>
      </c>
      <c r="N479" t="str">
        <f>"816"</f>
        <v>816</v>
      </c>
      <c r="P479">
        <v>51</v>
      </c>
      <c r="Q479">
        <v>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1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1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1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1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47</v>
      </c>
      <c r="NG479">
        <v>0</v>
      </c>
      <c r="NH479">
        <v>0</v>
      </c>
      <c r="NI479">
        <v>0</v>
      </c>
      <c r="NJ479">
        <v>0</v>
      </c>
      <c r="NK479">
        <v>0</v>
      </c>
      <c r="NL479">
        <v>0</v>
      </c>
      <c r="NM479">
        <v>0</v>
      </c>
      <c r="NN479">
        <v>0</v>
      </c>
      <c r="NO479">
        <v>0</v>
      </c>
      <c r="NP479">
        <v>0</v>
      </c>
      <c r="NQ479">
        <v>0</v>
      </c>
      <c r="NR479">
        <v>0</v>
      </c>
      <c r="NS479">
        <v>0</v>
      </c>
      <c r="NT479">
        <v>0</v>
      </c>
      <c r="NU479">
        <v>0</v>
      </c>
      <c r="NV479">
        <v>0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C479">
        <v>0</v>
      </c>
      <c r="OD479">
        <v>0</v>
      </c>
      <c r="OE479">
        <v>0</v>
      </c>
      <c r="OF479">
        <v>0</v>
      </c>
      <c r="OG479">
        <v>0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0</v>
      </c>
      <c r="OU479">
        <v>0</v>
      </c>
      <c r="OV479">
        <v>0</v>
      </c>
      <c r="OW479">
        <v>0</v>
      </c>
      <c r="OX479">
        <v>0</v>
      </c>
      <c r="OY479">
        <v>0</v>
      </c>
      <c r="OZ479">
        <v>0</v>
      </c>
      <c r="PA479">
        <v>0</v>
      </c>
      <c r="PB479">
        <v>0</v>
      </c>
      <c r="PC479">
        <v>0</v>
      </c>
      <c r="PD479">
        <v>0</v>
      </c>
      <c r="PE479">
        <v>0</v>
      </c>
      <c r="PF479">
        <v>0</v>
      </c>
      <c r="PG479">
        <v>0</v>
      </c>
      <c r="PH479">
        <v>0</v>
      </c>
      <c r="PI479">
        <v>0</v>
      </c>
      <c r="PJ479">
        <v>0</v>
      </c>
      <c r="PK479">
        <v>0</v>
      </c>
      <c r="PL479">
        <v>0</v>
      </c>
      <c r="PM479">
        <v>0</v>
      </c>
      <c r="PN479">
        <v>0</v>
      </c>
      <c r="PO479">
        <v>0</v>
      </c>
      <c r="PP479">
        <v>0</v>
      </c>
      <c r="PQ479">
        <v>0</v>
      </c>
      <c r="PR479">
        <v>0</v>
      </c>
      <c r="PS479">
        <v>0</v>
      </c>
      <c r="PT479">
        <v>0</v>
      </c>
      <c r="PU479">
        <v>0</v>
      </c>
      <c r="PV479">
        <v>0</v>
      </c>
      <c r="PW479">
        <v>0</v>
      </c>
      <c r="PX479">
        <v>0</v>
      </c>
      <c r="PY479">
        <v>0</v>
      </c>
      <c r="PZ479">
        <v>0</v>
      </c>
      <c r="QA479">
        <v>0</v>
      </c>
      <c r="QB479">
        <v>0</v>
      </c>
      <c r="QC479">
        <v>0</v>
      </c>
      <c r="QD479">
        <v>0</v>
      </c>
      <c r="QE479">
        <v>0</v>
      </c>
      <c r="QF479">
        <v>0</v>
      </c>
      <c r="QG479">
        <v>0</v>
      </c>
      <c r="QH479">
        <v>0</v>
      </c>
      <c r="QI479">
        <v>0</v>
      </c>
      <c r="QJ479">
        <v>0</v>
      </c>
      <c r="QK479">
        <v>0</v>
      </c>
      <c r="QL479">
        <v>0</v>
      </c>
      <c r="QM479">
        <v>0</v>
      </c>
      <c r="QN479">
        <v>0</v>
      </c>
      <c r="QO479">
        <v>0</v>
      </c>
      <c r="QP479">
        <v>0</v>
      </c>
      <c r="QQ479">
        <v>0</v>
      </c>
      <c r="QR479">
        <v>0</v>
      </c>
      <c r="QS479">
        <v>0</v>
      </c>
      <c r="QT479">
        <v>0</v>
      </c>
      <c r="QU479">
        <v>0</v>
      </c>
      <c r="QV479">
        <v>0</v>
      </c>
      <c r="QW479">
        <v>0</v>
      </c>
      <c r="QX479">
        <v>0</v>
      </c>
      <c r="QY479">
        <v>0</v>
      </c>
    </row>
    <row r="480" spans="2:467" hidden="1" x14ac:dyDescent="0.4">
      <c r="B480" t="str">
        <f>"9784140886823"</f>
        <v>9784140886823</v>
      </c>
      <c r="C480" t="s">
        <v>849</v>
      </c>
      <c r="D480" t="s">
        <v>850</v>
      </c>
      <c r="E480">
        <v>682</v>
      </c>
      <c r="G480" t="s">
        <v>480</v>
      </c>
      <c r="H480" t="str">
        <f>"0233"</f>
        <v>0233</v>
      </c>
      <c r="I480" t="s">
        <v>481</v>
      </c>
      <c r="J480" t="s">
        <v>482</v>
      </c>
      <c r="K480" t="s">
        <v>537</v>
      </c>
      <c r="L480" s="1">
        <v>44782</v>
      </c>
      <c r="M480">
        <v>880</v>
      </c>
      <c r="N480" t="str">
        <f>"007.1"</f>
        <v>007.1</v>
      </c>
      <c r="P480">
        <v>29</v>
      </c>
      <c r="Q480">
        <v>5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1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1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1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25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1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0</v>
      </c>
      <c r="NF480">
        <v>0</v>
      </c>
      <c r="NG480">
        <v>0</v>
      </c>
      <c r="NH480">
        <v>0</v>
      </c>
      <c r="NI480">
        <v>0</v>
      </c>
      <c r="NJ480">
        <v>0</v>
      </c>
      <c r="NK480">
        <v>0</v>
      </c>
      <c r="NL480">
        <v>0</v>
      </c>
      <c r="NM480">
        <v>0</v>
      </c>
      <c r="NN480">
        <v>0</v>
      </c>
      <c r="NO480">
        <v>0</v>
      </c>
      <c r="NP480">
        <v>0</v>
      </c>
      <c r="NQ480">
        <v>0</v>
      </c>
      <c r="NR480">
        <v>0</v>
      </c>
      <c r="NS480">
        <v>0</v>
      </c>
      <c r="NT480">
        <v>0</v>
      </c>
      <c r="NU480">
        <v>0</v>
      </c>
      <c r="NV480">
        <v>0</v>
      </c>
      <c r="NW480">
        <v>0</v>
      </c>
      <c r="NX480">
        <v>0</v>
      </c>
      <c r="NY480">
        <v>0</v>
      </c>
      <c r="NZ480">
        <v>0</v>
      </c>
      <c r="OA480">
        <v>0</v>
      </c>
      <c r="OB480">
        <v>0</v>
      </c>
      <c r="OC480">
        <v>0</v>
      </c>
      <c r="OD480">
        <v>0</v>
      </c>
      <c r="OE480">
        <v>0</v>
      </c>
      <c r="OF480">
        <v>0</v>
      </c>
      <c r="OG480">
        <v>0</v>
      </c>
      <c r="OH480">
        <v>0</v>
      </c>
      <c r="OI480">
        <v>0</v>
      </c>
      <c r="OJ480">
        <v>0</v>
      </c>
      <c r="OK480">
        <v>0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0</v>
      </c>
      <c r="OW480">
        <v>0</v>
      </c>
      <c r="OX480">
        <v>0</v>
      </c>
      <c r="OY480">
        <v>0</v>
      </c>
      <c r="OZ480">
        <v>0</v>
      </c>
      <c r="PA480">
        <v>0</v>
      </c>
      <c r="PB480">
        <v>0</v>
      </c>
      <c r="PC480">
        <v>0</v>
      </c>
      <c r="PD480">
        <v>0</v>
      </c>
      <c r="PE480">
        <v>0</v>
      </c>
      <c r="PF480">
        <v>0</v>
      </c>
      <c r="PG480">
        <v>0</v>
      </c>
      <c r="PH480">
        <v>0</v>
      </c>
      <c r="PI480">
        <v>0</v>
      </c>
      <c r="PJ480">
        <v>0</v>
      </c>
      <c r="PK480">
        <v>0</v>
      </c>
      <c r="PL480">
        <v>0</v>
      </c>
      <c r="PM480">
        <v>0</v>
      </c>
      <c r="PN480">
        <v>0</v>
      </c>
      <c r="PO480">
        <v>0</v>
      </c>
      <c r="PP480">
        <v>0</v>
      </c>
      <c r="PQ480">
        <v>0</v>
      </c>
      <c r="PR480">
        <v>0</v>
      </c>
      <c r="PS480">
        <v>0</v>
      </c>
      <c r="PT480">
        <v>0</v>
      </c>
      <c r="PU480">
        <v>0</v>
      </c>
      <c r="PV480">
        <v>0</v>
      </c>
      <c r="PW480">
        <v>0</v>
      </c>
      <c r="PX480">
        <v>0</v>
      </c>
      <c r="PY480">
        <v>0</v>
      </c>
      <c r="PZ480">
        <v>0</v>
      </c>
      <c r="QA480">
        <v>0</v>
      </c>
      <c r="QB480">
        <v>0</v>
      </c>
      <c r="QC480">
        <v>0</v>
      </c>
      <c r="QD480">
        <v>0</v>
      </c>
      <c r="QE480">
        <v>0</v>
      </c>
      <c r="QF480">
        <v>0</v>
      </c>
      <c r="QG480">
        <v>0</v>
      </c>
      <c r="QH480">
        <v>0</v>
      </c>
      <c r="QI480">
        <v>0</v>
      </c>
      <c r="QJ480">
        <v>0</v>
      </c>
      <c r="QK480">
        <v>0</v>
      </c>
      <c r="QL480">
        <v>0</v>
      </c>
      <c r="QM480">
        <v>0</v>
      </c>
      <c r="QN480">
        <v>0</v>
      </c>
      <c r="QO480">
        <v>0</v>
      </c>
      <c r="QP480">
        <v>0</v>
      </c>
      <c r="QQ480">
        <v>0</v>
      </c>
      <c r="QR480">
        <v>0</v>
      </c>
      <c r="QS480">
        <v>0</v>
      </c>
      <c r="QT480">
        <v>0</v>
      </c>
      <c r="QU480">
        <v>0</v>
      </c>
      <c r="QV480">
        <v>0</v>
      </c>
      <c r="QW480">
        <v>0</v>
      </c>
      <c r="QX480">
        <v>0</v>
      </c>
      <c r="QY480">
        <v>0</v>
      </c>
    </row>
    <row r="481" spans="2:467" hidden="1" x14ac:dyDescent="0.4">
      <c r="B481" t="str">
        <f>"9784004316572"</f>
        <v>9784004316572</v>
      </c>
      <c r="C481" t="s">
        <v>1215</v>
      </c>
      <c r="D481" t="s">
        <v>1216</v>
      </c>
      <c r="E481" t="s">
        <v>1217</v>
      </c>
      <c r="G481" t="s">
        <v>521</v>
      </c>
      <c r="H481" t="str">
        <f>"0233"</f>
        <v>0233</v>
      </c>
      <c r="I481" t="s">
        <v>481</v>
      </c>
      <c r="J481" t="s">
        <v>482</v>
      </c>
      <c r="K481" t="s">
        <v>537</v>
      </c>
      <c r="L481" s="1">
        <v>42846</v>
      </c>
      <c r="M481">
        <v>800</v>
      </c>
      <c r="N481" t="str">
        <f>"331"</f>
        <v>331</v>
      </c>
      <c r="P481">
        <v>15</v>
      </c>
      <c r="Q481">
        <v>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1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1</v>
      </c>
      <c r="DC481">
        <v>1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11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1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0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0</v>
      </c>
      <c r="NL481">
        <v>0</v>
      </c>
      <c r="NM481">
        <v>0</v>
      </c>
      <c r="NN481">
        <v>0</v>
      </c>
      <c r="NO481">
        <v>0</v>
      </c>
      <c r="NP481">
        <v>0</v>
      </c>
      <c r="NQ481">
        <v>0</v>
      </c>
      <c r="NR481">
        <v>0</v>
      </c>
      <c r="NS481">
        <v>0</v>
      </c>
      <c r="NT481">
        <v>0</v>
      </c>
      <c r="NU481">
        <v>0</v>
      </c>
      <c r="NV481">
        <v>0</v>
      </c>
      <c r="NW481">
        <v>0</v>
      </c>
      <c r="NX481">
        <v>0</v>
      </c>
      <c r="NY481">
        <v>0</v>
      </c>
      <c r="NZ481">
        <v>0</v>
      </c>
      <c r="OA481">
        <v>0</v>
      </c>
      <c r="OB481">
        <v>0</v>
      </c>
      <c r="OC481">
        <v>0</v>
      </c>
      <c r="OD481">
        <v>0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0</v>
      </c>
      <c r="PH481">
        <v>0</v>
      </c>
      <c r="PI481">
        <v>0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</v>
      </c>
      <c r="PQ481">
        <v>0</v>
      </c>
      <c r="PR481">
        <v>0</v>
      </c>
      <c r="PS481">
        <v>0</v>
      </c>
      <c r="PT481">
        <v>0</v>
      </c>
      <c r="PU481">
        <v>0</v>
      </c>
      <c r="PV481">
        <v>0</v>
      </c>
      <c r="PW481">
        <v>0</v>
      </c>
      <c r="PX481">
        <v>0</v>
      </c>
      <c r="PY481">
        <v>0</v>
      </c>
      <c r="PZ481">
        <v>0</v>
      </c>
      <c r="QA481">
        <v>0</v>
      </c>
      <c r="QB481">
        <v>0</v>
      </c>
      <c r="QC481">
        <v>0</v>
      </c>
      <c r="QD481">
        <v>0</v>
      </c>
      <c r="QE481">
        <v>0</v>
      </c>
      <c r="QF481">
        <v>0</v>
      </c>
      <c r="QG481">
        <v>0</v>
      </c>
      <c r="QH481">
        <v>0</v>
      </c>
      <c r="QI481">
        <v>0</v>
      </c>
      <c r="QJ481">
        <v>0</v>
      </c>
      <c r="QK481">
        <v>0</v>
      </c>
      <c r="QL481">
        <v>0</v>
      </c>
      <c r="QM481">
        <v>0</v>
      </c>
      <c r="QN481">
        <v>0</v>
      </c>
      <c r="QO481">
        <v>0</v>
      </c>
      <c r="QP481">
        <v>0</v>
      </c>
      <c r="QQ481">
        <v>0</v>
      </c>
      <c r="QR481">
        <v>0</v>
      </c>
      <c r="QS481">
        <v>0</v>
      </c>
      <c r="QT481">
        <v>0</v>
      </c>
      <c r="QU481">
        <v>0</v>
      </c>
      <c r="QV481">
        <v>0</v>
      </c>
      <c r="QW481">
        <v>0</v>
      </c>
      <c r="QX481">
        <v>0</v>
      </c>
      <c r="QY481">
        <v>0</v>
      </c>
    </row>
    <row r="482" spans="2:467" x14ac:dyDescent="0.4">
      <c r="B482" t="str">
        <f>"9784150503765"</f>
        <v>9784150503765</v>
      </c>
      <c r="C482" t="s">
        <v>1530</v>
      </c>
      <c r="D482" t="s">
        <v>1531</v>
      </c>
      <c r="E482" t="s">
        <v>1532</v>
      </c>
      <c r="G482" t="s">
        <v>963</v>
      </c>
      <c r="H482" t="str">
        <f>"0110"</f>
        <v>0110</v>
      </c>
      <c r="I482" t="s">
        <v>481</v>
      </c>
      <c r="J482" t="s">
        <v>487</v>
      </c>
      <c r="K482" t="s">
        <v>483</v>
      </c>
      <c r="L482" s="1">
        <v>40873</v>
      </c>
      <c r="M482">
        <v>900</v>
      </c>
      <c r="N482" t="str">
        <f>"311.1"</f>
        <v>311.1</v>
      </c>
      <c r="P482">
        <v>12</v>
      </c>
      <c r="Q482">
        <v>5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2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1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1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7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1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0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0</v>
      </c>
      <c r="NL482">
        <v>0</v>
      </c>
      <c r="NM482">
        <v>0</v>
      </c>
      <c r="NN482">
        <v>0</v>
      </c>
      <c r="NO482">
        <v>0</v>
      </c>
      <c r="NP482">
        <v>0</v>
      </c>
      <c r="NQ482">
        <v>0</v>
      </c>
      <c r="NR482">
        <v>0</v>
      </c>
      <c r="NS482">
        <v>0</v>
      </c>
      <c r="NT482">
        <v>0</v>
      </c>
      <c r="NU482">
        <v>0</v>
      </c>
      <c r="NV482">
        <v>0</v>
      </c>
      <c r="NW482">
        <v>0</v>
      </c>
      <c r="NX482">
        <v>0</v>
      </c>
      <c r="NY482">
        <v>0</v>
      </c>
      <c r="NZ482">
        <v>0</v>
      </c>
      <c r="OA482">
        <v>0</v>
      </c>
      <c r="OB482">
        <v>0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0</v>
      </c>
      <c r="PB482">
        <v>0</v>
      </c>
      <c r="PC482">
        <v>0</v>
      </c>
      <c r="PD482">
        <v>0</v>
      </c>
      <c r="PE482">
        <v>0</v>
      </c>
      <c r="PF482">
        <v>0</v>
      </c>
      <c r="PG482">
        <v>0</v>
      </c>
      <c r="PH482">
        <v>0</v>
      </c>
      <c r="PI482">
        <v>0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0</v>
      </c>
      <c r="PQ482">
        <v>0</v>
      </c>
      <c r="PR482">
        <v>0</v>
      </c>
      <c r="PS482">
        <v>0</v>
      </c>
      <c r="PT482">
        <v>0</v>
      </c>
      <c r="PU482">
        <v>0</v>
      </c>
      <c r="PV482">
        <v>0</v>
      </c>
      <c r="PW482">
        <v>0</v>
      </c>
      <c r="PX482">
        <v>0</v>
      </c>
      <c r="PY482">
        <v>0</v>
      </c>
      <c r="PZ482">
        <v>0</v>
      </c>
      <c r="QA482">
        <v>0</v>
      </c>
      <c r="QB482">
        <v>0</v>
      </c>
      <c r="QC482">
        <v>0</v>
      </c>
      <c r="QD482">
        <v>0</v>
      </c>
      <c r="QE482">
        <v>0</v>
      </c>
      <c r="QF482">
        <v>0</v>
      </c>
      <c r="QG482">
        <v>0</v>
      </c>
      <c r="QH482">
        <v>0</v>
      </c>
      <c r="QI482">
        <v>0</v>
      </c>
      <c r="QJ482">
        <v>0</v>
      </c>
      <c r="QK482">
        <v>0</v>
      </c>
      <c r="QL482">
        <v>0</v>
      </c>
      <c r="QM482">
        <v>0</v>
      </c>
      <c r="QN482">
        <v>0</v>
      </c>
      <c r="QO482">
        <v>0</v>
      </c>
      <c r="QP482">
        <v>0</v>
      </c>
      <c r="QQ482">
        <v>0</v>
      </c>
      <c r="QR482">
        <v>0</v>
      </c>
      <c r="QS482">
        <v>0</v>
      </c>
      <c r="QT482">
        <v>0</v>
      </c>
      <c r="QU482">
        <v>0</v>
      </c>
      <c r="QV482">
        <v>0</v>
      </c>
      <c r="QW482">
        <v>0</v>
      </c>
      <c r="QX482">
        <v>0</v>
      </c>
      <c r="QY482">
        <v>0</v>
      </c>
    </row>
    <row r="483" spans="2:467" hidden="1" x14ac:dyDescent="0.4">
      <c r="B483" t="str">
        <f>"9784061155053"</f>
        <v>9784061155053</v>
      </c>
      <c r="C483" t="s">
        <v>851</v>
      </c>
      <c r="D483" t="s">
        <v>852</v>
      </c>
      <c r="E483">
        <v>105</v>
      </c>
      <c r="G483" t="s">
        <v>548</v>
      </c>
      <c r="H483" t="str">
        <f>"0236"</f>
        <v>0236</v>
      </c>
      <c r="I483" t="s">
        <v>481</v>
      </c>
      <c r="J483" t="s">
        <v>482</v>
      </c>
      <c r="K483" t="s">
        <v>505</v>
      </c>
      <c r="L483" s="1">
        <v>33939</v>
      </c>
      <c r="M483">
        <v>800</v>
      </c>
      <c r="N483" t="str">
        <f>"361.42"</f>
        <v>361.42</v>
      </c>
      <c r="P483">
        <v>28</v>
      </c>
      <c r="Q483">
        <v>4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1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25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1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1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0</v>
      </c>
      <c r="NA483">
        <v>0</v>
      </c>
      <c r="NB483">
        <v>0</v>
      </c>
      <c r="NC483">
        <v>0</v>
      </c>
      <c r="ND483">
        <v>0</v>
      </c>
      <c r="NE483">
        <v>0</v>
      </c>
      <c r="NF483">
        <v>0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0</v>
      </c>
      <c r="NM483">
        <v>0</v>
      </c>
      <c r="NN483">
        <v>0</v>
      </c>
      <c r="NO483">
        <v>0</v>
      </c>
      <c r="NP483">
        <v>0</v>
      </c>
      <c r="NQ483">
        <v>0</v>
      </c>
      <c r="NR483">
        <v>0</v>
      </c>
      <c r="NS483">
        <v>0</v>
      </c>
      <c r="NT483">
        <v>0</v>
      </c>
      <c r="NU483">
        <v>0</v>
      </c>
      <c r="NV483">
        <v>0</v>
      </c>
      <c r="NW483">
        <v>0</v>
      </c>
      <c r="NX483">
        <v>0</v>
      </c>
      <c r="NY483">
        <v>0</v>
      </c>
      <c r="NZ483">
        <v>0</v>
      </c>
      <c r="OA483">
        <v>0</v>
      </c>
      <c r="OB483">
        <v>0</v>
      </c>
      <c r="OC483">
        <v>0</v>
      </c>
      <c r="OD483">
        <v>0</v>
      </c>
      <c r="OE483">
        <v>0</v>
      </c>
      <c r="OF483">
        <v>0</v>
      </c>
      <c r="OG483">
        <v>0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0</v>
      </c>
      <c r="PB483">
        <v>0</v>
      </c>
      <c r="PC483">
        <v>0</v>
      </c>
      <c r="PD483">
        <v>0</v>
      </c>
      <c r="PE483">
        <v>0</v>
      </c>
      <c r="PF483">
        <v>0</v>
      </c>
      <c r="PG483">
        <v>0</v>
      </c>
      <c r="PH483">
        <v>0</v>
      </c>
      <c r="PI483">
        <v>0</v>
      </c>
      <c r="PJ483">
        <v>0</v>
      </c>
      <c r="PK483">
        <v>0</v>
      </c>
      <c r="PL483">
        <v>0</v>
      </c>
      <c r="PM483">
        <v>0</v>
      </c>
      <c r="PN483">
        <v>0</v>
      </c>
      <c r="PO483">
        <v>0</v>
      </c>
      <c r="PP483">
        <v>0</v>
      </c>
      <c r="PQ483">
        <v>0</v>
      </c>
      <c r="PR483">
        <v>0</v>
      </c>
      <c r="PS483">
        <v>0</v>
      </c>
      <c r="PT483">
        <v>0</v>
      </c>
      <c r="PU483">
        <v>0</v>
      </c>
      <c r="PV483">
        <v>0</v>
      </c>
      <c r="PW483">
        <v>0</v>
      </c>
      <c r="PX483">
        <v>0</v>
      </c>
      <c r="PY483">
        <v>0</v>
      </c>
      <c r="PZ483">
        <v>0</v>
      </c>
      <c r="QA483">
        <v>0</v>
      </c>
      <c r="QB483">
        <v>0</v>
      </c>
      <c r="QC483">
        <v>0</v>
      </c>
      <c r="QD483">
        <v>0</v>
      </c>
      <c r="QE483">
        <v>0</v>
      </c>
      <c r="QF483">
        <v>0</v>
      </c>
      <c r="QG483">
        <v>0</v>
      </c>
      <c r="QH483">
        <v>0</v>
      </c>
      <c r="QI483">
        <v>0</v>
      </c>
      <c r="QJ483">
        <v>0</v>
      </c>
      <c r="QK483">
        <v>0</v>
      </c>
      <c r="QL483">
        <v>0</v>
      </c>
      <c r="QM483">
        <v>0</v>
      </c>
      <c r="QN483">
        <v>0</v>
      </c>
      <c r="QO483">
        <v>0</v>
      </c>
      <c r="QP483">
        <v>0</v>
      </c>
      <c r="QQ483">
        <v>0</v>
      </c>
      <c r="QR483">
        <v>0</v>
      </c>
      <c r="QS483">
        <v>0</v>
      </c>
      <c r="QT483">
        <v>0</v>
      </c>
      <c r="QU483">
        <v>0</v>
      </c>
      <c r="QV483">
        <v>0</v>
      </c>
      <c r="QW483">
        <v>0</v>
      </c>
      <c r="QX483">
        <v>0</v>
      </c>
      <c r="QY483">
        <v>0</v>
      </c>
    </row>
    <row r="484" spans="2:467" hidden="1" x14ac:dyDescent="0.4">
      <c r="B484" t="str">
        <f>"9784065020043"</f>
        <v>9784065020043</v>
      </c>
      <c r="C484" t="s">
        <v>972</v>
      </c>
      <c r="D484" t="s">
        <v>973</v>
      </c>
      <c r="E484" t="s">
        <v>974</v>
      </c>
      <c r="G484" t="s">
        <v>548</v>
      </c>
      <c r="H484" t="str">
        <f>"0244"</f>
        <v>0244</v>
      </c>
      <c r="I484" t="s">
        <v>481</v>
      </c>
      <c r="J484" t="s">
        <v>482</v>
      </c>
      <c r="K484" t="s">
        <v>868</v>
      </c>
      <c r="L484" s="1">
        <v>42781</v>
      </c>
      <c r="M484">
        <v>920</v>
      </c>
      <c r="N484" t="str">
        <f>"451.8"</f>
        <v>451.8</v>
      </c>
      <c r="P484">
        <v>21</v>
      </c>
      <c r="Q484">
        <v>4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18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1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1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0</v>
      </c>
      <c r="NL484">
        <v>0</v>
      </c>
      <c r="NM484">
        <v>0</v>
      </c>
      <c r="NN484">
        <v>0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0</v>
      </c>
      <c r="NV484">
        <v>0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C484">
        <v>0</v>
      </c>
      <c r="OD484">
        <v>0</v>
      </c>
      <c r="OE484">
        <v>0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1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</v>
      </c>
      <c r="PQ484">
        <v>0</v>
      </c>
      <c r="PR484">
        <v>0</v>
      </c>
      <c r="PS484">
        <v>0</v>
      </c>
      <c r="PT484">
        <v>0</v>
      </c>
      <c r="PU484">
        <v>0</v>
      </c>
      <c r="PV484">
        <v>0</v>
      </c>
      <c r="PW484">
        <v>0</v>
      </c>
      <c r="PX484">
        <v>0</v>
      </c>
      <c r="PY484">
        <v>0</v>
      </c>
      <c r="PZ484">
        <v>0</v>
      </c>
      <c r="QA484">
        <v>0</v>
      </c>
      <c r="QB484">
        <v>0</v>
      </c>
      <c r="QC484">
        <v>0</v>
      </c>
      <c r="QD484">
        <v>0</v>
      </c>
      <c r="QE484">
        <v>0</v>
      </c>
      <c r="QF484">
        <v>0</v>
      </c>
      <c r="QG484">
        <v>0</v>
      </c>
      <c r="QH484">
        <v>0</v>
      </c>
      <c r="QI484">
        <v>0</v>
      </c>
      <c r="QJ484">
        <v>0</v>
      </c>
      <c r="QK484">
        <v>0</v>
      </c>
      <c r="QL484">
        <v>0</v>
      </c>
      <c r="QM484">
        <v>0</v>
      </c>
      <c r="QN484">
        <v>0</v>
      </c>
      <c r="QO484">
        <v>0</v>
      </c>
      <c r="QP484">
        <v>0</v>
      </c>
      <c r="QQ484">
        <v>0</v>
      </c>
      <c r="QR484">
        <v>0</v>
      </c>
      <c r="QS484">
        <v>0</v>
      </c>
      <c r="QT484">
        <v>0</v>
      </c>
      <c r="QU484">
        <v>0</v>
      </c>
      <c r="QV484">
        <v>0</v>
      </c>
      <c r="QW484">
        <v>0</v>
      </c>
      <c r="QX484">
        <v>0</v>
      </c>
      <c r="QY484">
        <v>0</v>
      </c>
    </row>
    <row r="485" spans="2:467" hidden="1" x14ac:dyDescent="0.4">
      <c r="B485" t="str">
        <f>"9784121504654"</f>
        <v>9784121504654</v>
      </c>
      <c r="C485" t="s">
        <v>1054</v>
      </c>
      <c r="D485" t="s">
        <v>1055</v>
      </c>
      <c r="E485">
        <v>465</v>
      </c>
      <c r="G485" t="s">
        <v>540</v>
      </c>
      <c r="H485" t="str">
        <f>"1236"</f>
        <v>1236</v>
      </c>
      <c r="I485" t="s">
        <v>541</v>
      </c>
      <c r="J485" t="s">
        <v>482</v>
      </c>
      <c r="K485" t="s">
        <v>505</v>
      </c>
      <c r="L485" s="1">
        <v>41496</v>
      </c>
      <c r="M485">
        <v>880</v>
      </c>
      <c r="N485" t="str">
        <f>"366.021"</f>
        <v>366.021</v>
      </c>
      <c r="P485">
        <v>19</v>
      </c>
      <c r="Q485">
        <v>4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16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1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1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0</v>
      </c>
      <c r="NL485">
        <v>0</v>
      </c>
      <c r="NM485">
        <v>0</v>
      </c>
      <c r="NN485">
        <v>0</v>
      </c>
      <c r="NO485">
        <v>0</v>
      </c>
      <c r="NP485">
        <v>0</v>
      </c>
      <c r="NQ485">
        <v>0</v>
      </c>
      <c r="NR485">
        <v>0</v>
      </c>
      <c r="NS485">
        <v>0</v>
      </c>
      <c r="NT485">
        <v>0</v>
      </c>
      <c r="NU485">
        <v>0</v>
      </c>
      <c r="NV485">
        <v>0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C485">
        <v>0</v>
      </c>
      <c r="OD485">
        <v>0</v>
      </c>
      <c r="OE485">
        <v>0</v>
      </c>
      <c r="OF485">
        <v>0</v>
      </c>
      <c r="OG485">
        <v>0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0</v>
      </c>
      <c r="OW485">
        <v>0</v>
      </c>
      <c r="OX485">
        <v>0</v>
      </c>
      <c r="OY485">
        <v>0</v>
      </c>
      <c r="OZ485">
        <v>1</v>
      </c>
      <c r="PA485">
        <v>0</v>
      </c>
      <c r="PB485">
        <v>0</v>
      </c>
      <c r="PC485">
        <v>0</v>
      </c>
      <c r="PD485">
        <v>0</v>
      </c>
      <c r="PE485">
        <v>0</v>
      </c>
      <c r="PF485">
        <v>0</v>
      </c>
      <c r="PG485">
        <v>0</v>
      </c>
      <c r="PH485">
        <v>0</v>
      </c>
      <c r="PI485">
        <v>0</v>
      </c>
      <c r="PJ485">
        <v>0</v>
      </c>
      <c r="PK485">
        <v>0</v>
      </c>
      <c r="PL485">
        <v>0</v>
      </c>
      <c r="PM485">
        <v>0</v>
      </c>
      <c r="PN485">
        <v>0</v>
      </c>
      <c r="PO485">
        <v>0</v>
      </c>
      <c r="PP485">
        <v>0</v>
      </c>
      <c r="PQ485">
        <v>0</v>
      </c>
      <c r="PR485">
        <v>0</v>
      </c>
      <c r="PS485">
        <v>0</v>
      </c>
      <c r="PT485">
        <v>0</v>
      </c>
      <c r="PU485">
        <v>0</v>
      </c>
      <c r="PV485">
        <v>0</v>
      </c>
      <c r="PW485">
        <v>0</v>
      </c>
      <c r="PX485">
        <v>0</v>
      </c>
      <c r="PY485">
        <v>0</v>
      </c>
      <c r="PZ485">
        <v>0</v>
      </c>
      <c r="QA485">
        <v>0</v>
      </c>
      <c r="QB485">
        <v>0</v>
      </c>
      <c r="QC485">
        <v>0</v>
      </c>
      <c r="QD485">
        <v>0</v>
      </c>
      <c r="QE485">
        <v>0</v>
      </c>
      <c r="QF485">
        <v>0</v>
      </c>
      <c r="QG485">
        <v>0</v>
      </c>
      <c r="QH485">
        <v>0</v>
      </c>
      <c r="QI485">
        <v>0</v>
      </c>
      <c r="QJ485">
        <v>0</v>
      </c>
      <c r="QK485">
        <v>0</v>
      </c>
      <c r="QL485">
        <v>0</v>
      </c>
      <c r="QM485">
        <v>0</v>
      </c>
      <c r="QN485">
        <v>0</v>
      </c>
      <c r="QO485">
        <v>0</v>
      </c>
      <c r="QP485">
        <v>0</v>
      </c>
      <c r="QQ485">
        <v>0</v>
      </c>
      <c r="QR485">
        <v>0</v>
      </c>
      <c r="QS485">
        <v>0</v>
      </c>
      <c r="QT485">
        <v>0</v>
      </c>
      <c r="QU485">
        <v>0</v>
      </c>
      <c r="QV485">
        <v>0</v>
      </c>
      <c r="QW485">
        <v>0</v>
      </c>
      <c r="QX485">
        <v>0</v>
      </c>
      <c r="QY485">
        <v>0</v>
      </c>
    </row>
    <row r="486" spans="2:467" hidden="1" x14ac:dyDescent="0.4">
      <c r="B486" t="str">
        <f>"9784121801364"</f>
        <v>9784121801364</v>
      </c>
      <c r="C486" t="s">
        <v>1159</v>
      </c>
      <c r="D486" t="s">
        <v>1160</v>
      </c>
      <c r="E486">
        <v>136</v>
      </c>
      <c r="G486" t="s">
        <v>540</v>
      </c>
      <c r="H486" t="str">
        <f>"1230"</f>
        <v>1230</v>
      </c>
      <c r="I486" t="s">
        <v>541</v>
      </c>
      <c r="J486" t="s">
        <v>482</v>
      </c>
      <c r="K486" t="s">
        <v>600</v>
      </c>
      <c r="L486" s="1">
        <v>42906</v>
      </c>
      <c r="M486">
        <v>720</v>
      </c>
      <c r="N486" t="str">
        <f>"002.7"</f>
        <v>002.7</v>
      </c>
      <c r="P486">
        <v>17</v>
      </c>
      <c r="Q486">
        <v>4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1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13</v>
      </c>
      <c r="CR486">
        <v>0</v>
      </c>
      <c r="CS486">
        <v>0</v>
      </c>
      <c r="CT486">
        <v>2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1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0</v>
      </c>
      <c r="MR486">
        <v>0</v>
      </c>
      <c r="MS486">
        <v>0</v>
      </c>
      <c r="MT486">
        <v>0</v>
      </c>
      <c r="MU486">
        <v>0</v>
      </c>
      <c r="MV486">
        <v>0</v>
      </c>
      <c r="MW486">
        <v>0</v>
      </c>
      <c r="MX486">
        <v>0</v>
      </c>
      <c r="MY486">
        <v>0</v>
      </c>
      <c r="MZ486">
        <v>0</v>
      </c>
      <c r="NA486">
        <v>0</v>
      </c>
      <c r="NB486">
        <v>0</v>
      </c>
      <c r="NC486">
        <v>0</v>
      </c>
      <c r="ND486">
        <v>0</v>
      </c>
      <c r="NE486">
        <v>0</v>
      </c>
      <c r="NF486">
        <v>0</v>
      </c>
      <c r="NG486">
        <v>0</v>
      </c>
      <c r="NH486">
        <v>0</v>
      </c>
      <c r="NI486">
        <v>0</v>
      </c>
      <c r="NJ486">
        <v>0</v>
      </c>
      <c r="NK486">
        <v>0</v>
      </c>
      <c r="NL486">
        <v>0</v>
      </c>
      <c r="NM486">
        <v>0</v>
      </c>
      <c r="NN486">
        <v>0</v>
      </c>
      <c r="NO486">
        <v>0</v>
      </c>
      <c r="NP486">
        <v>0</v>
      </c>
      <c r="NQ486">
        <v>0</v>
      </c>
      <c r="NR486">
        <v>0</v>
      </c>
      <c r="NS486">
        <v>0</v>
      </c>
      <c r="NT486">
        <v>0</v>
      </c>
      <c r="NU486">
        <v>0</v>
      </c>
      <c r="NV486">
        <v>0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0</v>
      </c>
      <c r="OD486">
        <v>0</v>
      </c>
      <c r="OE486">
        <v>0</v>
      </c>
      <c r="OF486">
        <v>0</v>
      </c>
      <c r="OG486">
        <v>0</v>
      </c>
      <c r="OH486">
        <v>0</v>
      </c>
      <c r="OI486">
        <v>0</v>
      </c>
      <c r="OJ486">
        <v>0</v>
      </c>
      <c r="OK486">
        <v>0</v>
      </c>
      <c r="OL486">
        <v>0</v>
      </c>
      <c r="OM486">
        <v>0</v>
      </c>
      <c r="ON486">
        <v>0</v>
      </c>
      <c r="OO486">
        <v>0</v>
      </c>
      <c r="OP486">
        <v>0</v>
      </c>
      <c r="OQ486">
        <v>0</v>
      </c>
      <c r="OR486">
        <v>0</v>
      </c>
      <c r="OS486">
        <v>0</v>
      </c>
      <c r="OT486">
        <v>0</v>
      </c>
      <c r="OU486">
        <v>0</v>
      </c>
      <c r="OV486">
        <v>0</v>
      </c>
      <c r="OW486">
        <v>0</v>
      </c>
      <c r="OX486">
        <v>0</v>
      </c>
      <c r="OY486">
        <v>0</v>
      </c>
      <c r="OZ486">
        <v>0</v>
      </c>
      <c r="PA486">
        <v>0</v>
      </c>
      <c r="PB486">
        <v>0</v>
      </c>
      <c r="PC486">
        <v>0</v>
      </c>
      <c r="PD486">
        <v>0</v>
      </c>
      <c r="PE486">
        <v>0</v>
      </c>
      <c r="PF486">
        <v>0</v>
      </c>
      <c r="PG486">
        <v>0</v>
      </c>
      <c r="PH486">
        <v>0</v>
      </c>
      <c r="PI486">
        <v>0</v>
      </c>
      <c r="PJ486">
        <v>0</v>
      </c>
      <c r="PK486">
        <v>0</v>
      </c>
      <c r="PL486">
        <v>0</v>
      </c>
      <c r="PM486">
        <v>0</v>
      </c>
      <c r="PN486">
        <v>0</v>
      </c>
      <c r="PO486">
        <v>0</v>
      </c>
      <c r="PP486">
        <v>0</v>
      </c>
      <c r="PQ486">
        <v>0</v>
      </c>
      <c r="PR486">
        <v>0</v>
      </c>
      <c r="PS486">
        <v>0</v>
      </c>
      <c r="PT486">
        <v>0</v>
      </c>
      <c r="PU486">
        <v>0</v>
      </c>
      <c r="PV486">
        <v>0</v>
      </c>
      <c r="PW486">
        <v>0</v>
      </c>
      <c r="PX486">
        <v>0</v>
      </c>
      <c r="PY486">
        <v>0</v>
      </c>
      <c r="PZ486">
        <v>0</v>
      </c>
      <c r="QA486">
        <v>0</v>
      </c>
      <c r="QB486">
        <v>0</v>
      </c>
      <c r="QC486">
        <v>0</v>
      </c>
      <c r="QD486">
        <v>0</v>
      </c>
      <c r="QE486">
        <v>0</v>
      </c>
      <c r="QF486">
        <v>0</v>
      </c>
      <c r="QG486">
        <v>0</v>
      </c>
      <c r="QH486">
        <v>0</v>
      </c>
      <c r="QI486">
        <v>0</v>
      </c>
      <c r="QJ486">
        <v>0</v>
      </c>
      <c r="QK486">
        <v>0</v>
      </c>
      <c r="QL486">
        <v>0</v>
      </c>
      <c r="QM486">
        <v>0</v>
      </c>
      <c r="QN486">
        <v>0</v>
      </c>
      <c r="QO486">
        <v>0</v>
      </c>
      <c r="QP486">
        <v>0</v>
      </c>
      <c r="QQ486">
        <v>0</v>
      </c>
      <c r="QR486">
        <v>0</v>
      </c>
      <c r="QS486">
        <v>0</v>
      </c>
      <c r="QT486">
        <v>0</v>
      </c>
      <c r="QU486">
        <v>0</v>
      </c>
      <c r="QV486">
        <v>0</v>
      </c>
      <c r="QW486">
        <v>0</v>
      </c>
      <c r="QX486">
        <v>0</v>
      </c>
      <c r="QY486">
        <v>0</v>
      </c>
    </row>
    <row r="487" spans="2:467" hidden="1" x14ac:dyDescent="0.4">
      <c r="B487" t="str">
        <f>"9784004318095"</f>
        <v>9784004318095</v>
      </c>
      <c r="C487" t="s">
        <v>1282</v>
      </c>
      <c r="D487" t="s">
        <v>1283</v>
      </c>
      <c r="E487" t="s">
        <v>1284</v>
      </c>
      <c r="G487" t="s">
        <v>521</v>
      </c>
      <c r="H487" t="str">
        <f>"0232"</f>
        <v>0232</v>
      </c>
      <c r="I487" t="s">
        <v>481</v>
      </c>
      <c r="J487" t="s">
        <v>482</v>
      </c>
      <c r="K487" t="s">
        <v>1053</v>
      </c>
      <c r="L487" s="1">
        <v>43790</v>
      </c>
      <c r="M487">
        <v>880</v>
      </c>
      <c r="N487" t="str">
        <f>"007.3"</f>
        <v>007.3</v>
      </c>
      <c r="P487">
        <v>14</v>
      </c>
      <c r="Q487">
        <v>4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1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2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0</v>
      </c>
      <c r="NK487">
        <v>0</v>
      </c>
      <c r="NL487">
        <v>0</v>
      </c>
      <c r="NM487">
        <v>0</v>
      </c>
      <c r="NN487">
        <v>0</v>
      </c>
      <c r="NO487">
        <v>0</v>
      </c>
      <c r="NP487">
        <v>0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0</v>
      </c>
      <c r="NW487">
        <v>0</v>
      </c>
      <c r="NX487">
        <v>0</v>
      </c>
      <c r="NY487">
        <v>0</v>
      </c>
      <c r="NZ487">
        <v>0</v>
      </c>
      <c r="OA487">
        <v>0</v>
      </c>
      <c r="OB487">
        <v>0</v>
      </c>
      <c r="OC487">
        <v>0</v>
      </c>
      <c r="OD487">
        <v>0</v>
      </c>
      <c r="OE487">
        <v>0</v>
      </c>
      <c r="OF487">
        <v>0</v>
      </c>
      <c r="OG487">
        <v>0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1</v>
      </c>
      <c r="PL487">
        <v>0</v>
      </c>
      <c r="PM487">
        <v>0</v>
      </c>
      <c r="PN487">
        <v>0</v>
      </c>
      <c r="PO487">
        <v>0</v>
      </c>
      <c r="PP487">
        <v>0</v>
      </c>
      <c r="PQ487">
        <v>0</v>
      </c>
      <c r="PR487">
        <v>0</v>
      </c>
      <c r="PS487">
        <v>0</v>
      </c>
      <c r="PT487">
        <v>0</v>
      </c>
      <c r="PU487">
        <v>0</v>
      </c>
      <c r="PV487">
        <v>0</v>
      </c>
      <c r="PW487">
        <v>0</v>
      </c>
      <c r="PX487">
        <v>0</v>
      </c>
      <c r="PY487">
        <v>0</v>
      </c>
      <c r="PZ487">
        <v>0</v>
      </c>
      <c r="QA487">
        <v>0</v>
      </c>
      <c r="QB487">
        <v>0</v>
      </c>
      <c r="QC487">
        <v>0</v>
      </c>
      <c r="QD487">
        <v>0</v>
      </c>
      <c r="QE487">
        <v>0</v>
      </c>
      <c r="QF487">
        <v>0</v>
      </c>
      <c r="QG487">
        <v>10</v>
      </c>
      <c r="QH487">
        <v>0</v>
      </c>
      <c r="QI487">
        <v>0</v>
      </c>
      <c r="QJ487">
        <v>0</v>
      </c>
      <c r="QK487">
        <v>0</v>
      </c>
      <c r="QL487">
        <v>0</v>
      </c>
      <c r="QM487">
        <v>0</v>
      </c>
      <c r="QN487">
        <v>0</v>
      </c>
      <c r="QO487">
        <v>0</v>
      </c>
      <c r="QP487">
        <v>0</v>
      </c>
      <c r="QQ487">
        <v>0</v>
      </c>
      <c r="QR487">
        <v>0</v>
      </c>
      <c r="QS487">
        <v>0</v>
      </c>
      <c r="QT487">
        <v>0</v>
      </c>
      <c r="QU487">
        <v>0</v>
      </c>
      <c r="QV487">
        <v>0</v>
      </c>
      <c r="QW487">
        <v>0</v>
      </c>
      <c r="QX487">
        <v>0</v>
      </c>
      <c r="QY487">
        <v>0</v>
      </c>
    </row>
    <row r="488" spans="2:467" x14ac:dyDescent="0.4">
      <c r="B488" t="str">
        <f>"9784043574209"</f>
        <v>9784043574209</v>
      </c>
      <c r="C488" t="s">
        <v>506</v>
      </c>
      <c r="D488" t="s">
        <v>507</v>
      </c>
      <c r="E488" t="s">
        <v>508</v>
      </c>
      <c r="G488" t="s">
        <v>491</v>
      </c>
      <c r="H488" t="str">
        <f>"0195"</f>
        <v>0195</v>
      </c>
      <c r="I488" t="s">
        <v>481</v>
      </c>
      <c r="J488" t="s">
        <v>487</v>
      </c>
      <c r="K488" t="s">
        <v>509</v>
      </c>
      <c r="L488" s="1">
        <v>39295</v>
      </c>
      <c r="M488">
        <v>600</v>
      </c>
      <c r="N488" t="str">
        <f>"915.32"</f>
        <v>915.32</v>
      </c>
      <c r="P488">
        <v>115</v>
      </c>
      <c r="Q488">
        <v>3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113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1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0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0</v>
      </c>
      <c r="NL488">
        <v>0</v>
      </c>
      <c r="NM488">
        <v>0</v>
      </c>
      <c r="NN488">
        <v>0</v>
      </c>
      <c r="NO488">
        <v>0</v>
      </c>
      <c r="NP488">
        <v>1</v>
      </c>
      <c r="NQ488">
        <v>0</v>
      </c>
      <c r="NR488">
        <v>0</v>
      </c>
      <c r="NS488">
        <v>0</v>
      </c>
      <c r="NT488">
        <v>0</v>
      </c>
      <c r="NU488">
        <v>0</v>
      </c>
      <c r="NV488">
        <v>0</v>
      </c>
      <c r="NW488">
        <v>0</v>
      </c>
      <c r="NX488">
        <v>0</v>
      </c>
      <c r="NY488">
        <v>0</v>
      </c>
      <c r="NZ488">
        <v>0</v>
      </c>
      <c r="OA488">
        <v>0</v>
      </c>
      <c r="OB488">
        <v>0</v>
      </c>
      <c r="OC488">
        <v>0</v>
      </c>
      <c r="OD488">
        <v>0</v>
      </c>
      <c r="OE488">
        <v>0</v>
      </c>
      <c r="OF488">
        <v>0</v>
      </c>
      <c r="OG488">
        <v>0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0</v>
      </c>
      <c r="PN488">
        <v>0</v>
      </c>
      <c r="PO488">
        <v>0</v>
      </c>
      <c r="PP488">
        <v>0</v>
      </c>
      <c r="PQ488">
        <v>0</v>
      </c>
      <c r="PR488">
        <v>0</v>
      </c>
      <c r="PS488">
        <v>0</v>
      </c>
      <c r="PT488">
        <v>0</v>
      </c>
      <c r="PU488">
        <v>0</v>
      </c>
      <c r="PV488">
        <v>0</v>
      </c>
      <c r="PW488">
        <v>0</v>
      </c>
      <c r="PX488">
        <v>0</v>
      </c>
      <c r="PY488">
        <v>0</v>
      </c>
      <c r="PZ488">
        <v>0</v>
      </c>
      <c r="QA488">
        <v>0</v>
      </c>
      <c r="QB488">
        <v>0</v>
      </c>
      <c r="QC488">
        <v>0</v>
      </c>
      <c r="QD488">
        <v>0</v>
      </c>
      <c r="QE488">
        <v>0</v>
      </c>
      <c r="QF488">
        <v>0</v>
      </c>
      <c r="QG488">
        <v>0</v>
      </c>
      <c r="QH488">
        <v>0</v>
      </c>
      <c r="QI488">
        <v>0</v>
      </c>
      <c r="QJ488">
        <v>0</v>
      </c>
      <c r="QK488">
        <v>0</v>
      </c>
      <c r="QL488">
        <v>0</v>
      </c>
      <c r="QM488">
        <v>0</v>
      </c>
      <c r="QN488">
        <v>0</v>
      </c>
      <c r="QO488">
        <v>0</v>
      </c>
      <c r="QP488">
        <v>0</v>
      </c>
      <c r="QQ488">
        <v>0</v>
      </c>
      <c r="QR488">
        <v>0</v>
      </c>
      <c r="QS488">
        <v>0</v>
      </c>
      <c r="QT488">
        <v>0</v>
      </c>
      <c r="QU488">
        <v>0</v>
      </c>
      <c r="QV488">
        <v>0</v>
      </c>
      <c r="QW488">
        <v>0</v>
      </c>
      <c r="QX488">
        <v>0</v>
      </c>
      <c r="QY488">
        <v>0</v>
      </c>
    </row>
    <row r="489" spans="2:467" hidden="1" x14ac:dyDescent="0.4">
      <c r="B489" t="str">
        <f>"9784480074034"</f>
        <v>9784480074034</v>
      </c>
      <c r="C489" t="s">
        <v>823</v>
      </c>
      <c r="D489" t="s">
        <v>824</v>
      </c>
      <c r="E489">
        <v>1575</v>
      </c>
      <c r="G489" t="s">
        <v>501</v>
      </c>
      <c r="H489" t="str">
        <f>"0231"</f>
        <v>0231</v>
      </c>
      <c r="I489" t="s">
        <v>481</v>
      </c>
      <c r="J489" t="s">
        <v>482</v>
      </c>
      <c r="K489" t="s">
        <v>502</v>
      </c>
      <c r="L489" s="1">
        <v>44324</v>
      </c>
      <c r="M489">
        <v>940</v>
      </c>
      <c r="N489" t="str">
        <f>"498.6"</f>
        <v>498.6</v>
      </c>
      <c r="P489">
        <v>30</v>
      </c>
      <c r="Q489">
        <v>3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1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28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1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0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0</v>
      </c>
      <c r="NF489">
        <v>0</v>
      </c>
      <c r="NG489">
        <v>0</v>
      </c>
      <c r="NH489">
        <v>0</v>
      </c>
      <c r="NI489">
        <v>0</v>
      </c>
      <c r="NJ489">
        <v>0</v>
      </c>
      <c r="NK489">
        <v>0</v>
      </c>
      <c r="NL489">
        <v>0</v>
      </c>
      <c r="NM489">
        <v>0</v>
      </c>
      <c r="NN489">
        <v>0</v>
      </c>
      <c r="NO489">
        <v>0</v>
      </c>
      <c r="NP489">
        <v>0</v>
      </c>
      <c r="NQ489">
        <v>0</v>
      </c>
      <c r="NR489">
        <v>0</v>
      </c>
      <c r="NS489">
        <v>0</v>
      </c>
      <c r="NT489">
        <v>0</v>
      </c>
      <c r="NU489">
        <v>0</v>
      </c>
      <c r="NV489">
        <v>0</v>
      </c>
      <c r="NW489">
        <v>0</v>
      </c>
      <c r="NX489">
        <v>0</v>
      </c>
      <c r="NY489">
        <v>0</v>
      </c>
      <c r="NZ489">
        <v>0</v>
      </c>
      <c r="OA489">
        <v>0</v>
      </c>
      <c r="OB489">
        <v>0</v>
      </c>
      <c r="OC489">
        <v>0</v>
      </c>
      <c r="OD489">
        <v>0</v>
      </c>
      <c r="OE489">
        <v>0</v>
      </c>
      <c r="OF489">
        <v>0</v>
      </c>
      <c r="OG489">
        <v>0</v>
      </c>
      <c r="OH489">
        <v>0</v>
      </c>
      <c r="OI489">
        <v>0</v>
      </c>
      <c r="OJ489">
        <v>0</v>
      </c>
      <c r="OK489">
        <v>0</v>
      </c>
      <c r="OL489">
        <v>0</v>
      </c>
      <c r="OM489">
        <v>0</v>
      </c>
      <c r="ON489">
        <v>0</v>
      </c>
      <c r="OO489">
        <v>0</v>
      </c>
      <c r="OP489">
        <v>0</v>
      </c>
      <c r="OQ489">
        <v>0</v>
      </c>
      <c r="OR489">
        <v>0</v>
      </c>
      <c r="OS489">
        <v>0</v>
      </c>
      <c r="OT489">
        <v>0</v>
      </c>
      <c r="OU489">
        <v>0</v>
      </c>
      <c r="OV489">
        <v>0</v>
      </c>
      <c r="OW489">
        <v>0</v>
      </c>
      <c r="OX489">
        <v>0</v>
      </c>
      <c r="OY489">
        <v>0</v>
      </c>
      <c r="OZ489">
        <v>0</v>
      </c>
      <c r="PA489">
        <v>0</v>
      </c>
      <c r="PB489">
        <v>0</v>
      </c>
      <c r="PC489">
        <v>0</v>
      </c>
      <c r="PD489">
        <v>0</v>
      </c>
      <c r="PE489">
        <v>0</v>
      </c>
      <c r="PF489">
        <v>0</v>
      </c>
      <c r="PG489">
        <v>0</v>
      </c>
      <c r="PH489">
        <v>0</v>
      </c>
      <c r="PI489">
        <v>0</v>
      </c>
      <c r="PJ489">
        <v>0</v>
      </c>
      <c r="PK489">
        <v>0</v>
      </c>
      <c r="PL489">
        <v>0</v>
      </c>
      <c r="PM489">
        <v>0</v>
      </c>
      <c r="PN489">
        <v>0</v>
      </c>
      <c r="PO489">
        <v>0</v>
      </c>
      <c r="PP489">
        <v>0</v>
      </c>
      <c r="PQ489">
        <v>0</v>
      </c>
      <c r="PR489">
        <v>0</v>
      </c>
      <c r="PS489">
        <v>0</v>
      </c>
      <c r="PT489">
        <v>0</v>
      </c>
      <c r="PU489">
        <v>0</v>
      </c>
      <c r="PV489">
        <v>0</v>
      </c>
      <c r="PW489">
        <v>0</v>
      </c>
      <c r="PX489">
        <v>0</v>
      </c>
      <c r="PY489">
        <v>0</v>
      </c>
      <c r="PZ489">
        <v>0</v>
      </c>
      <c r="QA489">
        <v>0</v>
      </c>
      <c r="QB489">
        <v>0</v>
      </c>
      <c r="QC489">
        <v>0</v>
      </c>
      <c r="QD489">
        <v>0</v>
      </c>
      <c r="QE489">
        <v>0</v>
      </c>
      <c r="QF489">
        <v>0</v>
      </c>
      <c r="QG489">
        <v>0</v>
      </c>
      <c r="QH489">
        <v>0</v>
      </c>
      <c r="QI489">
        <v>0</v>
      </c>
      <c r="QJ489">
        <v>0</v>
      </c>
      <c r="QK489">
        <v>0</v>
      </c>
      <c r="QL489">
        <v>0</v>
      </c>
      <c r="QM489">
        <v>0</v>
      </c>
      <c r="QN489">
        <v>0</v>
      </c>
      <c r="QO489">
        <v>0</v>
      </c>
      <c r="QP489">
        <v>0</v>
      </c>
      <c r="QQ489">
        <v>0</v>
      </c>
      <c r="QR489">
        <v>0</v>
      </c>
      <c r="QS489">
        <v>0</v>
      </c>
      <c r="QT489">
        <v>0</v>
      </c>
      <c r="QU489">
        <v>0</v>
      </c>
      <c r="QV489">
        <v>0</v>
      </c>
      <c r="QW489">
        <v>0</v>
      </c>
      <c r="QX489">
        <v>0</v>
      </c>
      <c r="QY489">
        <v>0</v>
      </c>
    </row>
    <row r="490" spans="2:467" hidden="1" x14ac:dyDescent="0.4">
      <c r="B490" t="str">
        <f>"9784121026040"</f>
        <v>9784121026040</v>
      </c>
      <c r="C490" t="s">
        <v>964</v>
      </c>
      <c r="D490" t="s">
        <v>965</v>
      </c>
      <c r="E490">
        <v>2604</v>
      </c>
      <c r="G490" t="s">
        <v>540</v>
      </c>
      <c r="H490" t="str">
        <f>"1236"</f>
        <v>1236</v>
      </c>
      <c r="I490" t="s">
        <v>541</v>
      </c>
      <c r="J490" t="s">
        <v>482</v>
      </c>
      <c r="K490" t="s">
        <v>505</v>
      </c>
      <c r="L490" s="1">
        <v>44063</v>
      </c>
      <c r="M490">
        <v>920</v>
      </c>
      <c r="N490" t="str">
        <f>"329.39"</f>
        <v>329.39</v>
      </c>
      <c r="P490">
        <v>21</v>
      </c>
      <c r="Q490">
        <v>3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1</v>
      </c>
      <c r="IC490">
        <v>0</v>
      </c>
      <c r="ID490">
        <v>0</v>
      </c>
      <c r="IE490">
        <v>0</v>
      </c>
      <c r="IF490">
        <v>19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1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0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C490">
        <v>0</v>
      </c>
      <c r="OD490">
        <v>0</v>
      </c>
      <c r="OE490">
        <v>0</v>
      </c>
      <c r="OF490">
        <v>0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0</v>
      </c>
      <c r="PR490">
        <v>0</v>
      </c>
      <c r="PS490">
        <v>0</v>
      </c>
      <c r="PT490">
        <v>0</v>
      </c>
      <c r="PU490">
        <v>0</v>
      </c>
      <c r="PV490">
        <v>0</v>
      </c>
      <c r="PW490">
        <v>0</v>
      </c>
      <c r="PX490">
        <v>0</v>
      </c>
      <c r="PY490">
        <v>0</v>
      </c>
      <c r="PZ490">
        <v>0</v>
      </c>
      <c r="QA490">
        <v>0</v>
      </c>
      <c r="QB490">
        <v>0</v>
      </c>
      <c r="QC490">
        <v>0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</v>
      </c>
      <c r="QP490">
        <v>0</v>
      </c>
      <c r="QQ490">
        <v>0</v>
      </c>
      <c r="QR490">
        <v>0</v>
      </c>
      <c r="QS490">
        <v>0</v>
      </c>
      <c r="QT490">
        <v>0</v>
      </c>
      <c r="QU490">
        <v>0</v>
      </c>
      <c r="QV490">
        <v>0</v>
      </c>
      <c r="QW490">
        <v>0</v>
      </c>
      <c r="QX490">
        <v>0</v>
      </c>
      <c r="QY490">
        <v>0</v>
      </c>
    </row>
    <row r="491" spans="2:467" hidden="1" x14ac:dyDescent="0.4">
      <c r="B491" t="str">
        <f>"9784480073426"</f>
        <v>9784480073426</v>
      </c>
      <c r="C491" t="s">
        <v>1017</v>
      </c>
      <c r="D491" t="s">
        <v>1018</v>
      </c>
      <c r="E491">
        <v>1597</v>
      </c>
      <c r="G491" t="s">
        <v>501</v>
      </c>
      <c r="H491" t="str">
        <f>"0231"</f>
        <v>0231</v>
      </c>
      <c r="I491" t="s">
        <v>481</v>
      </c>
      <c r="J491" t="s">
        <v>482</v>
      </c>
      <c r="K491" t="s">
        <v>502</v>
      </c>
      <c r="L491" s="1">
        <v>44448</v>
      </c>
      <c r="M491">
        <v>840</v>
      </c>
      <c r="N491" t="str">
        <f>"312.1"</f>
        <v>312.1</v>
      </c>
      <c r="P491">
        <v>20</v>
      </c>
      <c r="Q491">
        <v>3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1</v>
      </c>
      <c r="HV491">
        <v>1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0</v>
      </c>
      <c r="NL491">
        <v>0</v>
      </c>
      <c r="NM491">
        <v>0</v>
      </c>
      <c r="NN491">
        <v>0</v>
      </c>
      <c r="NO491">
        <v>0</v>
      </c>
      <c r="NP491">
        <v>0</v>
      </c>
      <c r="NQ491">
        <v>0</v>
      </c>
      <c r="NR491">
        <v>0</v>
      </c>
      <c r="NS491">
        <v>0</v>
      </c>
      <c r="NT491">
        <v>0</v>
      </c>
      <c r="NU491">
        <v>0</v>
      </c>
      <c r="NV491">
        <v>0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0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18</v>
      </c>
      <c r="PL491">
        <v>0</v>
      </c>
      <c r="PM491">
        <v>0</v>
      </c>
      <c r="PN491">
        <v>0</v>
      </c>
      <c r="PO491">
        <v>0</v>
      </c>
      <c r="PP491">
        <v>0</v>
      </c>
      <c r="PQ491">
        <v>0</v>
      </c>
      <c r="PR491">
        <v>0</v>
      </c>
      <c r="PS491">
        <v>0</v>
      </c>
      <c r="PT491">
        <v>0</v>
      </c>
      <c r="PU491">
        <v>0</v>
      </c>
      <c r="PV491">
        <v>0</v>
      </c>
      <c r="PW491">
        <v>0</v>
      </c>
      <c r="PX491">
        <v>0</v>
      </c>
      <c r="PY491">
        <v>0</v>
      </c>
      <c r="PZ491">
        <v>0</v>
      </c>
      <c r="QA491">
        <v>0</v>
      </c>
      <c r="QB491">
        <v>0</v>
      </c>
      <c r="QC491">
        <v>0</v>
      </c>
      <c r="QD491">
        <v>0</v>
      </c>
      <c r="QE491">
        <v>0</v>
      </c>
      <c r="QF491">
        <v>0</v>
      </c>
      <c r="QG491">
        <v>0</v>
      </c>
      <c r="QH491">
        <v>0</v>
      </c>
      <c r="QI491">
        <v>0</v>
      </c>
      <c r="QJ491">
        <v>0</v>
      </c>
      <c r="QK491">
        <v>0</v>
      </c>
      <c r="QL491">
        <v>0</v>
      </c>
      <c r="QM491">
        <v>0</v>
      </c>
      <c r="QN491">
        <v>0</v>
      </c>
      <c r="QO491">
        <v>0</v>
      </c>
      <c r="QP491">
        <v>0</v>
      </c>
      <c r="QQ491">
        <v>0</v>
      </c>
      <c r="QR491">
        <v>0</v>
      </c>
      <c r="QS491">
        <v>0</v>
      </c>
      <c r="QT491">
        <v>0</v>
      </c>
      <c r="QU491">
        <v>0</v>
      </c>
      <c r="QV491">
        <v>0</v>
      </c>
      <c r="QW491">
        <v>0</v>
      </c>
      <c r="QX491">
        <v>0</v>
      </c>
      <c r="QY491">
        <v>0</v>
      </c>
    </row>
    <row r="492" spans="2:467" hidden="1" x14ac:dyDescent="0.4">
      <c r="B492" t="str">
        <f>"9784004318644"</f>
        <v>9784004318644</v>
      </c>
      <c r="C492" t="s">
        <v>1089</v>
      </c>
      <c r="D492" t="s">
        <v>1090</v>
      </c>
      <c r="E492" t="s">
        <v>1091</v>
      </c>
      <c r="G492" t="s">
        <v>521</v>
      </c>
      <c r="H492" t="str">
        <f>"0236"</f>
        <v>0236</v>
      </c>
      <c r="I492" t="s">
        <v>481</v>
      </c>
      <c r="J492" t="s">
        <v>482</v>
      </c>
      <c r="K492" t="s">
        <v>505</v>
      </c>
      <c r="L492" s="1">
        <v>44217</v>
      </c>
      <c r="M492">
        <v>800</v>
      </c>
      <c r="N492" t="str">
        <f>"601.1"</f>
        <v>601.1</v>
      </c>
      <c r="P492">
        <v>18</v>
      </c>
      <c r="Q492">
        <v>3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2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0</v>
      </c>
      <c r="ML492">
        <v>0</v>
      </c>
      <c r="MM492">
        <v>0</v>
      </c>
      <c r="MN492">
        <v>0</v>
      </c>
      <c r="MO492">
        <v>0</v>
      </c>
      <c r="MP492">
        <v>0</v>
      </c>
      <c r="MQ492">
        <v>0</v>
      </c>
      <c r="MR492">
        <v>0</v>
      </c>
      <c r="MS492">
        <v>0</v>
      </c>
      <c r="MT492">
        <v>0</v>
      </c>
      <c r="MU492">
        <v>0</v>
      </c>
      <c r="MV492">
        <v>0</v>
      </c>
      <c r="MW492">
        <v>0</v>
      </c>
      <c r="MX492">
        <v>0</v>
      </c>
      <c r="MY492">
        <v>0</v>
      </c>
      <c r="MZ492">
        <v>0</v>
      </c>
      <c r="NA492">
        <v>0</v>
      </c>
      <c r="NB492">
        <v>0</v>
      </c>
      <c r="NC492">
        <v>0</v>
      </c>
      <c r="ND492">
        <v>0</v>
      </c>
      <c r="NE492">
        <v>0</v>
      </c>
      <c r="NF492">
        <v>0</v>
      </c>
      <c r="NG492">
        <v>0</v>
      </c>
      <c r="NH492">
        <v>0</v>
      </c>
      <c r="NI492">
        <v>0</v>
      </c>
      <c r="NJ492">
        <v>0</v>
      </c>
      <c r="NK492">
        <v>0</v>
      </c>
      <c r="NL492">
        <v>0</v>
      </c>
      <c r="NM492">
        <v>0</v>
      </c>
      <c r="NN492">
        <v>0</v>
      </c>
      <c r="NO492">
        <v>0</v>
      </c>
      <c r="NP492">
        <v>0</v>
      </c>
      <c r="NQ492">
        <v>0</v>
      </c>
      <c r="NR492">
        <v>0</v>
      </c>
      <c r="NS492">
        <v>0</v>
      </c>
      <c r="NT492">
        <v>0</v>
      </c>
      <c r="NU492">
        <v>0</v>
      </c>
      <c r="NV492">
        <v>0</v>
      </c>
      <c r="NW492">
        <v>0</v>
      </c>
      <c r="NX492">
        <v>0</v>
      </c>
      <c r="NY492">
        <v>0</v>
      </c>
      <c r="NZ492">
        <v>0</v>
      </c>
      <c r="OA492">
        <v>0</v>
      </c>
      <c r="OB492">
        <v>0</v>
      </c>
      <c r="OC492">
        <v>0</v>
      </c>
      <c r="OD492">
        <v>0</v>
      </c>
      <c r="OE492">
        <v>0</v>
      </c>
      <c r="OF492">
        <v>0</v>
      </c>
      <c r="OG492">
        <v>0</v>
      </c>
      <c r="OH492">
        <v>0</v>
      </c>
      <c r="OI492">
        <v>0</v>
      </c>
      <c r="OJ492">
        <v>0</v>
      </c>
      <c r="OK492">
        <v>0</v>
      </c>
      <c r="OL492">
        <v>0</v>
      </c>
      <c r="OM492">
        <v>0</v>
      </c>
      <c r="ON492">
        <v>0</v>
      </c>
      <c r="OO492">
        <v>0</v>
      </c>
      <c r="OP492">
        <v>0</v>
      </c>
      <c r="OQ492">
        <v>0</v>
      </c>
      <c r="OR492">
        <v>0</v>
      </c>
      <c r="OS492">
        <v>0</v>
      </c>
      <c r="OT492">
        <v>0</v>
      </c>
      <c r="OU492">
        <v>0</v>
      </c>
      <c r="OV492">
        <v>0</v>
      </c>
      <c r="OW492">
        <v>0</v>
      </c>
      <c r="OX492">
        <v>0</v>
      </c>
      <c r="OY492">
        <v>0</v>
      </c>
      <c r="OZ492">
        <v>0</v>
      </c>
      <c r="PA492">
        <v>0</v>
      </c>
      <c r="PB492">
        <v>0</v>
      </c>
      <c r="PC492">
        <v>0</v>
      </c>
      <c r="PD492">
        <v>0</v>
      </c>
      <c r="PE492">
        <v>0</v>
      </c>
      <c r="PF492">
        <v>0</v>
      </c>
      <c r="PG492">
        <v>0</v>
      </c>
      <c r="PH492">
        <v>0</v>
      </c>
      <c r="PI492">
        <v>0</v>
      </c>
      <c r="PJ492">
        <v>0</v>
      </c>
      <c r="PK492">
        <v>0</v>
      </c>
      <c r="PL492">
        <v>0</v>
      </c>
      <c r="PM492">
        <v>0</v>
      </c>
      <c r="PN492">
        <v>0</v>
      </c>
      <c r="PO492">
        <v>0</v>
      </c>
      <c r="PP492">
        <v>0</v>
      </c>
      <c r="PQ492">
        <v>0</v>
      </c>
      <c r="PR492">
        <v>0</v>
      </c>
      <c r="PS492">
        <v>0</v>
      </c>
      <c r="PT492">
        <v>0</v>
      </c>
      <c r="PU492">
        <v>0</v>
      </c>
      <c r="PV492">
        <v>0</v>
      </c>
      <c r="PW492">
        <v>0</v>
      </c>
      <c r="PX492">
        <v>0</v>
      </c>
      <c r="PY492">
        <v>0</v>
      </c>
      <c r="PZ492">
        <v>0</v>
      </c>
      <c r="QA492">
        <v>0</v>
      </c>
      <c r="QB492">
        <v>0</v>
      </c>
      <c r="QC492">
        <v>0</v>
      </c>
      <c r="QD492">
        <v>0</v>
      </c>
      <c r="QE492">
        <v>0</v>
      </c>
      <c r="QF492">
        <v>0</v>
      </c>
      <c r="QG492">
        <v>0</v>
      </c>
      <c r="QH492">
        <v>0</v>
      </c>
      <c r="QI492">
        <v>0</v>
      </c>
      <c r="QJ492">
        <v>0</v>
      </c>
      <c r="QK492">
        <v>1</v>
      </c>
      <c r="QL492">
        <v>0</v>
      </c>
      <c r="QM492">
        <v>0</v>
      </c>
      <c r="QN492">
        <v>0</v>
      </c>
      <c r="QO492">
        <v>0</v>
      </c>
      <c r="QP492">
        <v>0</v>
      </c>
      <c r="QQ492">
        <v>0</v>
      </c>
      <c r="QR492">
        <v>0</v>
      </c>
      <c r="QS492">
        <v>0</v>
      </c>
      <c r="QT492">
        <v>15</v>
      </c>
      <c r="QU492">
        <v>0</v>
      </c>
      <c r="QV492">
        <v>0</v>
      </c>
      <c r="QW492">
        <v>0</v>
      </c>
      <c r="QX492">
        <v>0</v>
      </c>
      <c r="QY492">
        <v>0</v>
      </c>
    </row>
    <row r="493" spans="2:467" x14ac:dyDescent="0.4">
      <c r="B493" t="str">
        <f>"9784062932127"</f>
        <v>9784062932127</v>
      </c>
      <c r="C493" t="s">
        <v>1290</v>
      </c>
      <c r="D493" t="s">
        <v>1291</v>
      </c>
      <c r="E493" t="s">
        <v>1292</v>
      </c>
      <c r="G493" t="s">
        <v>548</v>
      </c>
      <c r="H493" t="str">
        <f>"0195"</f>
        <v>0195</v>
      </c>
      <c r="I493" t="s">
        <v>481</v>
      </c>
      <c r="J493" t="s">
        <v>487</v>
      </c>
      <c r="K493" t="s">
        <v>509</v>
      </c>
      <c r="L493" s="1">
        <v>42228</v>
      </c>
      <c r="M493">
        <v>800</v>
      </c>
      <c r="N493" t="str">
        <f>"914.6"</f>
        <v>914.6</v>
      </c>
      <c r="P493">
        <v>14</v>
      </c>
      <c r="Q493">
        <v>3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1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12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0</v>
      </c>
      <c r="NL493">
        <v>0</v>
      </c>
      <c r="NM493">
        <v>0</v>
      </c>
      <c r="NN493">
        <v>0</v>
      </c>
      <c r="NO493">
        <v>0</v>
      </c>
      <c r="NP493">
        <v>0</v>
      </c>
      <c r="NQ493">
        <v>0</v>
      </c>
      <c r="NR493">
        <v>0</v>
      </c>
      <c r="NS493">
        <v>0</v>
      </c>
      <c r="NT493">
        <v>0</v>
      </c>
      <c r="NU493">
        <v>0</v>
      </c>
      <c r="NV493">
        <v>0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C493">
        <v>0</v>
      </c>
      <c r="OD493">
        <v>0</v>
      </c>
      <c r="OE493">
        <v>0</v>
      </c>
      <c r="OF493">
        <v>0</v>
      </c>
      <c r="OG493">
        <v>0</v>
      </c>
      <c r="OH493">
        <v>0</v>
      </c>
      <c r="OI493">
        <v>0</v>
      </c>
      <c r="OJ493">
        <v>0</v>
      </c>
      <c r="OK493">
        <v>0</v>
      </c>
      <c r="OL493">
        <v>0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1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0</v>
      </c>
      <c r="PB493">
        <v>0</v>
      </c>
      <c r="PC493">
        <v>0</v>
      </c>
      <c r="PD493">
        <v>0</v>
      </c>
      <c r="PE493">
        <v>0</v>
      </c>
      <c r="PF493">
        <v>0</v>
      </c>
      <c r="PG493">
        <v>0</v>
      </c>
      <c r="PH493">
        <v>0</v>
      </c>
      <c r="PI493">
        <v>0</v>
      </c>
      <c r="PJ493">
        <v>0</v>
      </c>
      <c r="PK493">
        <v>0</v>
      </c>
      <c r="PL493">
        <v>0</v>
      </c>
      <c r="PM493">
        <v>0</v>
      </c>
      <c r="PN493">
        <v>0</v>
      </c>
      <c r="PO493">
        <v>0</v>
      </c>
      <c r="PP493">
        <v>0</v>
      </c>
      <c r="PQ493">
        <v>0</v>
      </c>
      <c r="PR493">
        <v>0</v>
      </c>
      <c r="PS493">
        <v>0</v>
      </c>
      <c r="PT493">
        <v>0</v>
      </c>
      <c r="PU493">
        <v>0</v>
      </c>
      <c r="PV493">
        <v>0</v>
      </c>
      <c r="PW493">
        <v>0</v>
      </c>
      <c r="PX493">
        <v>0</v>
      </c>
      <c r="PY493">
        <v>0</v>
      </c>
      <c r="PZ493">
        <v>0</v>
      </c>
      <c r="QA493">
        <v>0</v>
      </c>
      <c r="QB493">
        <v>0</v>
      </c>
      <c r="QC493">
        <v>0</v>
      </c>
      <c r="QD493">
        <v>0</v>
      </c>
      <c r="QE493">
        <v>0</v>
      </c>
      <c r="QF493">
        <v>0</v>
      </c>
      <c r="QG493">
        <v>0</v>
      </c>
      <c r="QH493">
        <v>0</v>
      </c>
      <c r="QI493">
        <v>0</v>
      </c>
      <c r="QJ493">
        <v>0</v>
      </c>
      <c r="QK493">
        <v>0</v>
      </c>
      <c r="QL493">
        <v>0</v>
      </c>
      <c r="QM493">
        <v>0</v>
      </c>
      <c r="QN493">
        <v>0</v>
      </c>
      <c r="QO493">
        <v>0</v>
      </c>
      <c r="QP493">
        <v>0</v>
      </c>
      <c r="QQ493">
        <v>0</v>
      </c>
      <c r="QR493">
        <v>0</v>
      </c>
      <c r="QS493">
        <v>0</v>
      </c>
      <c r="QT493">
        <v>0</v>
      </c>
      <c r="QU493">
        <v>0</v>
      </c>
      <c r="QV493">
        <v>0</v>
      </c>
      <c r="QW493">
        <v>0</v>
      </c>
      <c r="QX493">
        <v>0</v>
      </c>
      <c r="QY493">
        <v>0</v>
      </c>
    </row>
    <row r="494" spans="2:467" hidden="1" x14ac:dyDescent="0.4">
      <c r="B494" t="str">
        <f>"9784334043469"</f>
        <v>9784334043469</v>
      </c>
      <c r="C494" t="s">
        <v>1489</v>
      </c>
      <c r="D494" t="s">
        <v>1001</v>
      </c>
      <c r="E494">
        <v>940</v>
      </c>
      <c r="G494" t="s">
        <v>676</v>
      </c>
      <c r="H494" t="str">
        <f>"0233"</f>
        <v>0233</v>
      </c>
      <c r="I494" t="s">
        <v>481</v>
      </c>
      <c r="J494" t="s">
        <v>482</v>
      </c>
      <c r="K494" t="s">
        <v>537</v>
      </c>
      <c r="L494" s="1">
        <v>43208</v>
      </c>
      <c r="M494">
        <v>840</v>
      </c>
      <c r="N494" t="str">
        <f>"364"</f>
        <v>364</v>
      </c>
      <c r="P494">
        <v>12</v>
      </c>
      <c r="Q494">
        <v>3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1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1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10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0</v>
      </c>
      <c r="MP494">
        <v>0</v>
      </c>
      <c r="MQ494">
        <v>0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0</v>
      </c>
      <c r="NK494">
        <v>0</v>
      </c>
      <c r="NL494">
        <v>0</v>
      </c>
      <c r="NM494">
        <v>0</v>
      </c>
      <c r="NN494">
        <v>0</v>
      </c>
      <c r="NO494">
        <v>0</v>
      </c>
      <c r="NP494">
        <v>0</v>
      </c>
      <c r="NQ494">
        <v>0</v>
      </c>
      <c r="NR494">
        <v>0</v>
      </c>
      <c r="NS494">
        <v>0</v>
      </c>
      <c r="NT494">
        <v>0</v>
      </c>
      <c r="NU494">
        <v>0</v>
      </c>
      <c r="NV494">
        <v>0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C494">
        <v>0</v>
      </c>
      <c r="OD494">
        <v>0</v>
      </c>
      <c r="OE494">
        <v>0</v>
      </c>
      <c r="OF494">
        <v>0</v>
      </c>
      <c r="OG494">
        <v>0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0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0</v>
      </c>
      <c r="PL494">
        <v>0</v>
      </c>
      <c r="PM494">
        <v>0</v>
      </c>
      <c r="PN494">
        <v>0</v>
      </c>
      <c r="PO494">
        <v>0</v>
      </c>
      <c r="PP494">
        <v>0</v>
      </c>
      <c r="PQ494">
        <v>0</v>
      </c>
      <c r="PR494">
        <v>0</v>
      </c>
      <c r="PS494">
        <v>0</v>
      </c>
      <c r="PT494">
        <v>0</v>
      </c>
      <c r="PU494">
        <v>0</v>
      </c>
      <c r="PV494">
        <v>0</v>
      </c>
      <c r="PW494">
        <v>0</v>
      </c>
      <c r="PX494">
        <v>0</v>
      </c>
      <c r="PY494">
        <v>0</v>
      </c>
      <c r="PZ494">
        <v>0</v>
      </c>
      <c r="QA494">
        <v>0</v>
      </c>
      <c r="QB494">
        <v>0</v>
      </c>
      <c r="QC494">
        <v>0</v>
      </c>
      <c r="QD494">
        <v>0</v>
      </c>
      <c r="QE494">
        <v>0</v>
      </c>
      <c r="QF494">
        <v>0</v>
      </c>
      <c r="QG494">
        <v>0</v>
      </c>
      <c r="QH494">
        <v>0</v>
      </c>
      <c r="QI494">
        <v>0</v>
      </c>
      <c r="QJ494">
        <v>0</v>
      </c>
      <c r="QK494">
        <v>0</v>
      </c>
      <c r="QL494">
        <v>0</v>
      </c>
      <c r="QM494">
        <v>0</v>
      </c>
      <c r="QN494">
        <v>0</v>
      </c>
      <c r="QO494">
        <v>0</v>
      </c>
      <c r="QP494">
        <v>0</v>
      </c>
      <c r="QQ494">
        <v>0</v>
      </c>
      <c r="QR494">
        <v>0</v>
      </c>
      <c r="QS494">
        <v>0</v>
      </c>
      <c r="QT494">
        <v>0</v>
      </c>
      <c r="QU494">
        <v>0</v>
      </c>
      <c r="QV494">
        <v>0</v>
      </c>
      <c r="QW494">
        <v>0</v>
      </c>
      <c r="QX494">
        <v>0</v>
      </c>
      <c r="QY494">
        <v>0</v>
      </c>
    </row>
    <row r="495" spans="2:467" x14ac:dyDescent="0.4">
      <c r="B495" t="str">
        <f>"9784334753504"</f>
        <v>9784334753504</v>
      </c>
      <c r="C495" t="s">
        <v>1725</v>
      </c>
      <c r="D495" t="s">
        <v>1726</v>
      </c>
      <c r="E495" t="s">
        <v>1727</v>
      </c>
      <c r="G495" t="s">
        <v>676</v>
      </c>
      <c r="H495" t="str">
        <f>"0110"</f>
        <v>0110</v>
      </c>
      <c r="I495" t="s">
        <v>481</v>
      </c>
      <c r="J495" t="s">
        <v>487</v>
      </c>
      <c r="K495" t="s">
        <v>483</v>
      </c>
      <c r="L495" s="1">
        <v>42803</v>
      </c>
      <c r="M495">
        <v>900</v>
      </c>
      <c r="N495" t="str">
        <f>"131.5"</f>
        <v>131.5</v>
      </c>
      <c r="P495">
        <v>10</v>
      </c>
      <c r="Q495">
        <v>3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1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8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1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0</v>
      </c>
      <c r="NM495">
        <v>0</v>
      </c>
      <c r="NN495">
        <v>0</v>
      </c>
      <c r="NO495">
        <v>0</v>
      </c>
      <c r="NP495">
        <v>0</v>
      </c>
      <c r="NQ495">
        <v>0</v>
      </c>
      <c r="NR495">
        <v>0</v>
      </c>
      <c r="NS495">
        <v>0</v>
      </c>
      <c r="NT495">
        <v>0</v>
      </c>
      <c r="NU495">
        <v>0</v>
      </c>
      <c r="NV495">
        <v>0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0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0</v>
      </c>
      <c r="OO495">
        <v>0</v>
      </c>
      <c r="OP495">
        <v>0</v>
      </c>
      <c r="OQ495">
        <v>0</v>
      </c>
      <c r="OR495">
        <v>0</v>
      </c>
      <c r="OS495">
        <v>0</v>
      </c>
      <c r="OT495">
        <v>0</v>
      </c>
      <c r="OU495">
        <v>0</v>
      </c>
      <c r="OV495">
        <v>0</v>
      </c>
      <c r="OW495">
        <v>0</v>
      </c>
      <c r="OX495">
        <v>0</v>
      </c>
      <c r="OY495">
        <v>0</v>
      </c>
      <c r="OZ495">
        <v>0</v>
      </c>
      <c r="PA495">
        <v>0</v>
      </c>
      <c r="PB495">
        <v>0</v>
      </c>
      <c r="PC495">
        <v>0</v>
      </c>
      <c r="PD495">
        <v>0</v>
      </c>
      <c r="PE495">
        <v>0</v>
      </c>
      <c r="PF495">
        <v>0</v>
      </c>
      <c r="PG495">
        <v>0</v>
      </c>
      <c r="PH495">
        <v>0</v>
      </c>
      <c r="PI495">
        <v>0</v>
      </c>
      <c r="PJ495">
        <v>0</v>
      </c>
      <c r="PK495">
        <v>0</v>
      </c>
      <c r="PL495">
        <v>0</v>
      </c>
      <c r="PM495">
        <v>0</v>
      </c>
      <c r="PN495">
        <v>0</v>
      </c>
      <c r="PO495">
        <v>0</v>
      </c>
      <c r="PP495">
        <v>0</v>
      </c>
      <c r="PQ495">
        <v>0</v>
      </c>
      <c r="PR495">
        <v>0</v>
      </c>
      <c r="PS495">
        <v>0</v>
      </c>
      <c r="PT495">
        <v>0</v>
      </c>
      <c r="PU495">
        <v>0</v>
      </c>
      <c r="PV495">
        <v>0</v>
      </c>
      <c r="PW495">
        <v>0</v>
      </c>
      <c r="PX495">
        <v>0</v>
      </c>
      <c r="PY495">
        <v>0</v>
      </c>
      <c r="PZ495">
        <v>0</v>
      </c>
      <c r="QA495">
        <v>0</v>
      </c>
      <c r="QB495">
        <v>0</v>
      </c>
      <c r="QC495">
        <v>0</v>
      </c>
      <c r="QD495">
        <v>0</v>
      </c>
      <c r="QE495">
        <v>0</v>
      </c>
      <c r="QF495">
        <v>0</v>
      </c>
      <c r="QG495">
        <v>0</v>
      </c>
      <c r="QH495">
        <v>0</v>
      </c>
      <c r="QI495">
        <v>0</v>
      </c>
      <c r="QJ495">
        <v>0</v>
      </c>
      <c r="QK495">
        <v>0</v>
      </c>
      <c r="QL495">
        <v>0</v>
      </c>
      <c r="QM495">
        <v>0</v>
      </c>
      <c r="QN495">
        <v>0</v>
      </c>
      <c r="QO495">
        <v>0</v>
      </c>
      <c r="QP495">
        <v>0</v>
      </c>
      <c r="QQ495">
        <v>0</v>
      </c>
      <c r="QR495">
        <v>0</v>
      </c>
      <c r="QS495">
        <v>0</v>
      </c>
      <c r="QT495">
        <v>0</v>
      </c>
      <c r="QU495">
        <v>0</v>
      </c>
      <c r="QV495">
        <v>0</v>
      </c>
      <c r="QW495">
        <v>0</v>
      </c>
      <c r="QX495">
        <v>0</v>
      </c>
      <c r="QY495">
        <v>0</v>
      </c>
    </row>
    <row r="496" spans="2:467" hidden="1" x14ac:dyDescent="0.4">
      <c r="B496" t="str">
        <f>"9784005008834"</f>
        <v>9784005008834</v>
      </c>
      <c r="C496" t="s">
        <v>1790</v>
      </c>
      <c r="D496" t="s">
        <v>1791</v>
      </c>
      <c r="E496">
        <v>883</v>
      </c>
      <c r="G496" t="s">
        <v>521</v>
      </c>
      <c r="H496" t="str">
        <f>"0221"</f>
        <v>0221</v>
      </c>
      <c r="I496" t="s">
        <v>481</v>
      </c>
      <c r="J496" t="s">
        <v>482</v>
      </c>
      <c r="K496" t="s">
        <v>620</v>
      </c>
      <c r="L496" s="1">
        <v>43364</v>
      </c>
      <c r="M496">
        <v>800</v>
      </c>
      <c r="N496" t="str">
        <f>"K210"</f>
        <v>K210</v>
      </c>
      <c r="P496">
        <v>10</v>
      </c>
      <c r="Q496">
        <v>3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2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7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  <c r="NK496">
        <v>0</v>
      </c>
      <c r="NL496">
        <v>0</v>
      </c>
      <c r="NM496">
        <v>0</v>
      </c>
      <c r="NN496">
        <v>0</v>
      </c>
      <c r="NO496">
        <v>0</v>
      </c>
      <c r="NP496">
        <v>0</v>
      </c>
      <c r="NQ496">
        <v>0</v>
      </c>
      <c r="NR496">
        <v>0</v>
      </c>
      <c r="NS496">
        <v>0</v>
      </c>
      <c r="NT496">
        <v>0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0</v>
      </c>
      <c r="OD496">
        <v>0</v>
      </c>
      <c r="OE496">
        <v>0</v>
      </c>
      <c r="OF496">
        <v>0</v>
      </c>
      <c r="OG496">
        <v>0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1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0</v>
      </c>
      <c r="PJ496">
        <v>0</v>
      </c>
      <c r="PK496">
        <v>0</v>
      </c>
      <c r="PL496">
        <v>0</v>
      </c>
      <c r="PM496">
        <v>0</v>
      </c>
      <c r="PN496">
        <v>0</v>
      </c>
      <c r="PO496">
        <v>0</v>
      </c>
      <c r="PP496">
        <v>0</v>
      </c>
      <c r="PQ496">
        <v>0</v>
      </c>
      <c r="PR496">
        <v>0</v>
      </c>
      <c r="PS496">
        <v>0</v>
      </c>
      <c r="PT496">
        <v>0</v>
      </c>
      <c r="PU496">
        <v>0</v>
      </c>
      <c r="PV496">
        <v>0</v>
      </c>
      <c r="PW496">
        <v>0</v>
      </c>
      <c r="PX496">
        <v>0</v>
      </c>
      <c r="PY496">
        <v>0</v>
      </c>
      <c r="PZ496">
        <v>0</v>
      </c>
      <c r="QA496">
        <v>0</v>
      </c>
      <c r="QB496">
        <v>0</v>
      </c>
      <c r="QC496">
        <v>0</v>
      </c>
      <c r="QD496">
        <v>0</v>
      </c>
      <c r="QE496">
        <v>0</v>
      </c>
      <c r="QF496">
        <v>0</v>
      </c>
      <c r="QG496">
        <v>0</v>
      </c>
      <c r="QH496">
        <v>0</v>
      </c>
      <c r="QI496">
        <v>0</v>
      </c>
      <c r="QJ496">
        <v>0</v>
      </c>
      <c r="QK496">
        <v>0</v>
      </c>
      <c r="QL496">
        <v>0</v>
      </c>
      <c r="QM496">
        <v>0</v>
      </c>
      <c r="QN496">
        <v>0</v>
      </c>
      <c r="QO496">
        <v>0</v>
      </c>
      <c r="QP496">
        <v>0</v>
      </c>
      <c r="QQ496">
        <v>0</v>
      </c>
      <c r="QR496">
        <v>0</v>
      </c>
      <c r="QS496">
        <v>0</v>
      </c>
      <c r="QT496">
        <v>0</v>
      </c>
      <c r="QU496">
        <v>0</v>
      </c>
      <c r="QV496">
        <v>0</v>
      </c>
      <c r="QW496">
        <v>0</v>
      </c>
      <c r="QX496">
        <v>0</v>
      </c>
      <c r="QY496">
        <v>0</v>
      </c>
    </row>
    <row r="497" spans="2:467" hidden="1" x14ac:dyDescent="0.4">
      <c r="B497" t="str">
        <f>"9784480056856"</f>
        <v>9784480056856</v>
      </c>
      <c r="C497" t="s">
        <v>1823</v>
      </c>
      <c r="D497" t="s">
        <v>1824</v>
      </c>
      <c r="E497">
        <v>85</v>
      </c>
      <c r="G497" t="s">
        <v>501</v>
      </c>
      <c r="H497" t="str">
        <f>"0214"</f>
        <v>0214</v>
      </c>
      <c r="I497" t="s">
        <v>481</v>
      </c>
      <c r="J497" t="s">
        <v>482</v>
      </c>
      <c r="K497" t="s">
        <v>1085</v>
      </c>
      <c r="L497" s="1">
        <v>35339</v>
      </c>
      <c r="M497">
        <v>780</v>
      </c>
      <c r="N497" t="str">
        <f>""</f>
        <v/>
      </c>
      <c r="P497">
        <v>10</v>
      </c>
      <c r="Q497">
        <v>3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8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1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0</v>
      </c>
      <c r="NL497">
        <v>0</v>
      </c>
      <c r="NM497">
        <v>0</v>
      </c>
      <c r="NN497">
        <v>0</v>
      </c>
      <c r="NO497">
        <v>0</v>
      </c>
      <c r="NP497">
        <v>0</v>
      </c>
      <c r="NQ497">
        <v>0</v>
      </c>
      <c r="NR497">
        <v>0</v>
      </c>
      <c r="NS497">
        <v>0</v>
      </c>
      <c r="NT497">
        <v>0</v>
      </c>
      <c r="NU497">
        <v>0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C497">
        <v>0</v>
      </c>
      <c r="OD497">
        <v>0</v>
      </c>
      <c r="OE497">
        <v>0</v>
      </c>
      <c r="OF497">
        <v>0</v>
      </c>
      <c r="OG497">
        <v>0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0</v>
      </c>
      <c r="PB497">
        <v>0</v>
      </c>
      <c r="PC497">
        <v>0</v>
      </c>
      <c r="PD497">
        <v>0</v>
      </c>
      <c r="PE497">
        <v>0</v>
      </c>
      <c r="PF497">
        <v>0</v>
      </c>
      <c r="PG497">
        <v>0</v>
      </c>
      <c r="PH497">
        <v>0</v>
      </c>
      <c r="PI497">
        <v>0</v>
      </c>
      <c r="PJ497">
        <v>0</v>
      </c>
      <c r="PK497">
        <v>1</v>
      </c>
      <c r="PL497">
        <v>0</v>
      </c>
      <c r="PM497">
        <v>0</v>
      </c>
      <c r="PN497">
        <v>0</v>
      </c>
      <c r="PO497">
        <v>0</v>
      </c>
      <c r="PP497">
        <v>0</v>
      </c>
      <c r="PQ497">
        <v>0</v>
      </c>
      <c r="PR497">
        <v>0</v>
      </c>
      <c r="PS497">
        <v>0</v>
      </c>
      <c r="PT497">
        <v>0</v>
      </c>
      <c r="PU497">
        <v>0</v>
      </c>
      <c r="PV497">
        <v>0</v>
      </c>
      <c r="PW497">
        <v>0</v>
      </c>
      <c r="PX497">
        <v>0</v>
      </c>
      <c r="PY497">
        <v>0</v>
      </c>
      <c r="PZ497">
        <v>0</v>
      </c>
      <c r="QA497">
        <v>0</v>
      </c>
      <c r="QB497">
        <v>0</v>
      </c>
      <c r="QC497">
        <v>0</v>
      </c>
      <c r="QD497">
        <v>0</v>
      </c>
      <c r="QE497">
        <v>0</v>
      </c>
      <c r="QF497">
        <v>0</v>
      </c>
      <c r="QG497">
        <v>0</v>
      </c>
      <c r="QH497">
        <v>0</v>
      </c>
      <c r="QI497">
        <v>0</v>
      </c>
      <c r="QJ497">
        <v>0</v>
      </c>
      <c r="QK497">
        <v>0</v>
      </c>
      <c r="QL497">
        <v>0</v>
      </c>
      <c r="QM497">
        <v>0</v>
      </c>
      <c r="QN497">
        <v>0</v>
      </c>
      <c r="QO497">
        <v>0</v>
      </c>
      <c r="QP497">
        <v>0</v>
      </c>
      <c r="QQ497">
        <v>0</v>
      </c>
      <c r="QR497">
        <v>0</v>
      </c>
      <c r="QS497">
        <v>0</v>
      </c>
      <c r="QT497">
        <v>0</v>
      </c>
      <c r="QU497">
        <v>0</v>
      </c>
      <c r="QV497">
        <v>0</v>
      </c>
      <c r="QW497">
        <v>0</v>
      </c>
      <c r="QX497">
        <v>0</v>
      </c>
      <c r="QY497">
        <v>0</v>
      </c>
    </row>
    <row r="498" spans="2:467" x14ac:dyDescent="0.4">
      <c r="B498" t="str">
        <f>"9784043574193"</f>
        <v>9784043574193</v>
      </c>
      <c r="C498" t="s">
        <v>510</v>
      </c>
      <c r="D498" t="s">
        <v>511</v>
      </c>
      <c r="E498" t="s">
        <v>512</v>
      </c>
      <c r="G498" t="s">
        <v>491</v>
      </c>
      <c r="H498" t="str">
        <f>"0195"</f>
        <v>0195</v>
      </c>
      <c r="I498" t="s">
        <v>481</v>
      </c>
      <c r="J498" t="s">
        <v>487</v>
      </c>
      <c r="K498" t="s">
        <v>509</v>
      </c>
      <c r="L498" s="1">
        <v>39234</v>
      </c>
      <c r="M498">
        <v>590</v>
      </c>
      <c r="N498" t="str">
        <f>"914.42"</f>
        <v>914.42</v>
      </c>
      <c r="P498">
        <v>114</v>
      </c>
      <c r="Q498">
        <v>2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113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0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0</v>
      </c>
      <c r="NA498">
        <v>0</v>
      </c>
      <c r="NB498">
        <v>0</v>
      </c>
      <c r="NC498">
        <v>0</v>
      </c>
      <c r="ND498">
        <v>0</v>
      </c>
      <c r="NE498">
        <v>1</v>
      </c>
      <c r="NF498">
        <v>0</v>
      </c>
      <c r="NG498">
        <v>0</v>
      </c>
      <c r="NH498">
        <v>0</v>
      </c>
      <c r="NI498">
        <v>0</v>
      </c>
      <c r="NJ498">
        <v>0</v>
      </c>
      <c r="NK498">
        <v>0</v>
      </c>
      <c r="NL498">
        <v>0</v>
      </c>
      <c r="NM498">
        <v>0</v>
      </c>
      <c r="NN498">
        <v>0</v>
      </c>
      <c r="NO498">
        <v>0</v>
      </c>
      <c r="NP498">
        <v>0</v>
      </c>
      <c r="NQ498">
        <v>0</v>
      </c>
      <c r="NR498">
        <v>0</v>
      </c>
      <c r="NS498">
        <v>0</v>
      </c>
      <c r="NT498">
        <v>0</v>
      </c>
      <c r="NU498">
        <v>0</v>
      </c>
      <c r="NV498">
        <v>0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0</v>
      </c>
      <c r="OE498">
        <v>0</v>
      </c>
      <c r="OF498">
        <v>0</v>
      </c>
      <c r="OG498">
        <v>0</v>
      </c>
      <c r="OH498">
        <v>0</v>
      </c>
      <c r="OI498">
        <v>0</v>
      </c>
      <c r="OJ498">
        <v>0</v>
      </c>
      <c r="OK498">
        <v>0</v>
      </c>
      <c r="OL498">
        <v>0</v>
      </c>
      <c r="OM498">
        <v>0</v>
      </c>
      <c r="ON498">
        <v>0</v>
      </c>
      <c r="OO498">
        <v>0</v>
      </c>
      <c r="OP498">
        <v>0</v>
      </c>
      <c r="OQ498">
        <v>0</v>
      </c>
      <c r="OR498">
        <v>0</v>
      </c>
      <c r="OS498">
        <v>0</v>
      </c>
      <c r="OT498">
        <v>0</v>
      </c>
      <c r="OU498">
        <v>0</v>
      </c>
      <c r="OV498">
        <v>0</v>
      </c>
      <c r="OW498">
        <v>0</v>
      </c>
      <c r="OX498">
        <v>0</v>
      </c>
      <c r="OY498">
        <v>0</v>
      </c>
      <c r="OZ498">
        <v>0</v>
      </c>
      <c r="PA498">
        <v>0</v>
      </c>
      <c r="PB498">
        <v>0</v>
      </c>
      <c r="PC498">
        <v>0</v>
      </c>
      <c r="PD498">
        <v>0</v>
      </c>
      <c r="PE498">
        <v>0</v>
      </c>
      <c r="PF498">
        <v>0</v>
      </c>
      <c r="PG498">
        <v>0</v>
      </c>
      <c r="PH498">
        <v>0</v>
      </c>
      <c r="PI498">
        <v>0</v>
      </c>
      <c r="PJ498">
        <v>0</v>
      </c>
      <c r="PK498">
        <v>0</v>
      </c>
      <c r="PL498">
        <v>0</v>
      </c>
      <c r="PM498">
        <v>0</v>
      </c>
      <c r="PN498">
        <v>0</v>
      </c>
      <c r="PO498">
        <v>0</v>
      </c>
      <c r="PP498">
        <v>0</v>
      </c>
      <c r="PQ498">
        <v>0</v>
      </c>
      <c r="PR498">
        <v>0</v>
      </c>
      <c r="PS498">
        <v>0</v>
      </c>
      <c r="PT498">
        <v>0</v>
      </c>
      <c r="PU498">
        <v>0</v>
      </c>
      <c r="PV498">
        <v>0</v>
      </c>
      <c r="PW498">
        <v>0</v>
      </c>
      <c r="PX498">
        <v>0</v>
      </c>
      <c r="PY498">
        <v>0</v>
      </c>
      <c r="PZ498">
        <v>0</v>
      </c>
      <c r="QA498">
        <v>0</v>
      </c>
      <c r="QB498">
        <v>0</v>
      </c>
      <c r="QC498">
        <v>0</v>
      </c>
      <c r="QD498">
        <v>0</v>
      </c>
      <c r="QE498">
        <v>0</v>
      </c>
      <c r="QF498">
        <v>0</v>
      </c>
      <c r="QG498">
        <v>0</v>
      </c>
      <c r="QH498">
        <v>0</v>
      </c>
      <c r="QI498">
        <v>0</v>
      </c>
      <c r="QJ498">
        <v>0</v>
      </c>
      <c r="QK498">
        <v>0</v>
      </c>
      <c r="QL498">
        <v>0</v>
      </c>
      <c r="QM498">
        <v>0</v>
      </c>
      <c r="QN498">
        <v>0</v>
      </c>
      <c r="QO498">
        <v>0</v>
      </c>
      <c r="QP498">
        <v>0</v>
      </c>
      <c r="QQ498">
        <v>0</v>
      </c>
      <c r="QR498">
        <v>0</v>
      </c>
      <c r="QS498">
        <v>0</v>
      </c>
      <c r="QT498">
        <v>0</v>
      </c>
      <c r="QU498">
        <v>0</v>
      </c>
      <c r="QV498">
        <v>0</v>
      </c>
      <c r="QW498">
        <v>0</v>
      </c>
      <c r="QX498">
        <v>0</v>
      </c>
      <c r="QY498">
        <v>0</v>
      </c>
    </row>
    <row r="499" spans="2:467" x14ac:dyDescent="0.4">
      <c r="B499" t="str">
        <f>"9784043574018"</f>
        <v>9784043574018</v>
      </c>
      <c r="C499" t="s">
        <v>523</v>
      </c>
      <c r="D499" t="s">
        <v>524</v>
      </c>
      <c r="E499" t="s">
        <v>525</v>
      </c>
      <c r="G499" t="s">
        <v>486</v>
      </c>
      <c r="H499" t="str">
        <f>"0195"</f>
        <v>0195</v>
      </c>
      <c r="I499" t="s">
        <v>481</v>
      </c>
      <c r="J499" t="s">
        <v>487</v>
      </c>
      <c r="K499" t="s">
        <v>509</v>
      </c>
      <c r="L499" s="1">
        <v>37073</v>
      </c>
      <c r="M499">
        <v>680</v>
      </c>
      <c r="N499" t="str">
        <f>"914.3"</f>
        <v>914.3</v>
      </c>
      <c r="P499">
        <v>102</v>
      </c>
      <c r="Q499">
        <v>2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101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1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0</v>
      </c>
      <c r="NK499">
        <v>0</v>
      </c>
      <c r="NL499">
        <v>0</v>
      </c>
      <c r="NM499">
        <v>0</v>
      </c>
      <c r="NN499">
        <v>0</v>
      </c>
      <c r="NO499">
        <v>0</v>
      </c>
      <c r="NP499">
        <v>0</v>
      </c>
      <c r="NQ499">
        <v>0</v>
      </c>
      <c r="NR499">
        <v>0</v>
      </c>
      <c r="NS499">
        <v>0</v>
      </c>
      <c r="NT499">
        <v>0</v>
      </c>
      <c r="NU499">
        <v>0</v>
      </c>
      <c r="NV499">
        <v>0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0</v>
      </c>
      <c r="OC499">
        <v>0</v>
      </c>
      <c r="OD499">
        <v>0</v>
      </c>
      <c r="OE499">
        <v>0</v>
      </c>
      <c r="OF499">
        <v>0</v>
      </c>
      <c r="OG499">
        <v>0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0</v>
      </c>
      <c r="PE499">
        <v>0</v>
      </c>
      <c r="PF499">
        <v>0</v>
      </c>
      <c r="PG499">
        <v>0</v>
      </c>
      <c r="PH499">
        <v>0</v>
      </c>
      <c r="PI499">
        <v>0</v>
      </c>
      <c r="PJ499">
        <v>0</v>
      </c>
      <c r="PK499">
        <v>0</v>
      </c>
      <c r="PL499">
        <v>0</v>
      </c>
      <c r="PM499">
        <v>0</v>
      </c>
      <c r="PN499">
        <v>0</v>
      </c>
      <c r="PO499">
        <v>0</v>
      </c>
      <c r="PP499">
        <v>0</v>
      </c>
      <c r="PQ499">
        <v>0</v>
      </c>
      <c r="PR499">
        <v>0</v>
      </c>
      <c r="PS499">
        <v>0</v>
      </c>
      <c r="PT499">
        <v>0</v>
      </c>
      <c r="PU499">
        <v>0</v>
      </c>
      <c r="PV499">
        <v>0</v>
      </c>
      <c r="PW499">
        <v>0</v>
      </c>
      <c r="PX499">
        <v>0</v>
      </c>
      <c r="PY499">
        <v>0</v>
      </c>
      <c r="PZ499">
        <v>0</v>
      </c>
      <c r="QA499">
        <v>0</v>
      </c>
      <c r="QB499">
        <v>0</v>
      </c>
      <c r="QC499">
        <v>0</v>
      </c>
      <c r="QD499">
        <v>0</v>
      </c>
      <c r="QE499">
        <v>0</v>
      </c>
      <c r="QF499">
        <v>0</v>
      </c>
      <c r="QG499">
        <v>0</v>
      </c>
      <c r="QH499">
        <v>0</v>
      </c>
      <c r="QI499">
        <v>0</v>
      </c>
      <c r="QJ499">
        <v>0</v>
      </c>
      <c r="QK499">
        <v>0</v>
      </c>
      <c r="QL499">
        <v>0</v>
      </c>
      <c r="QM499">
        <v>0</v>
      </c>
      <c r="QN499">
        <v>0</v>
      </c>
      <c r="QO499">
        <v>0</v>
      </c>
      <c r="QP499">
        <v>0</v>
      </c>
      <c r="QQ499">
        <v>0</v>
      </c>
      <c r="QR499">
        <v>0</v>
      </c>
      <c r="QS499">
        <v>0</v>
      </c>
      <c r="QT499">
        <v>0</v>
      </c>
      <c r="QU499">
        <v>0</v>
      </c>
      <c r="QV499">
        <v>0</v>
      </c>
      <c r="QW499">
        <v>0</v>
      </c>
      <c r="QX499">
        <v>0</v>
      </c>
      <c r="QY499">
        <v>0</v>
      </c>
    </row>
    <row r="500" spans="2:467" hidden="1" x14ac:dyDescent="0.4">
      <c r="B500" t="str">
        <f>"9784106109508"</f>
        <v>9784106109508</v>
      </c>
      <c r="C500" t="s">
        <v>550</v>
      </c>
      <c r="D500" t="s">
        <v>551</v>
      </c>
      <c r="E500">
        <v>950</v>
      </c>
      <c r="G500" t="s">
        <v>516</v>
      </c>
      <c r="H500" t="str">
        <f>"0276"</f>
        <v>0276</v>
      </c>
      <c r="I500" t="s">
        <v>481</v>
      </c>
      <c r="J500" t="s">
        <v>482</v>
      </c>
      <c r="K500" t="s">
        <v>552</v>
      </c>
      <c r="L500" s="1">
        <v>44698</v>
      </c>
      <c r="M500">
        <v>820</v>
      </c>
      <c r="N500" t="str">
        <f>"596.04"</f>
        <v>596.04</v>
      </c>
      <c r="P500">
        <v>85</v>
      </c>
      <c r="Q500">
        <v>2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84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1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  <c r="NK500">
        <v>0</v>
      </c>
      <c r="NL500">
        <v>0</v>
      </c>
      <c r="NM500">
        <v>0</v>
      </c>
      <c r="NN500">
        <v>0</v>
      </c>
      <c r="NO500">
        <v>0</v>
      </c>
      <c r="NP500">
        <v>0</v>
      </c>
      <c r="NQ500">
        <v>0</v>
      </c>
      <c r="NR500">
        <v>0</v>
      </c>
      <c r="NS500">
        <v>0</v>
      </c>
      <c r="NT500">
        <v>0</v>
      </c>
      <c r="NU500">
        <v>0</v>
      </c>
      <c r="NV500">
        <v>0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C500">
        <v>0</v>
      </c>
      <c r="OD500">
        <v>0</v>
      </c>
      <c r="OE500">
        <v>0</v>
      </c>
      <c r="OF500">
        <v>0</v>
      </c>
      <c r="OG500">
        <v>0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0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0</v>
      </c>
      <c r="PA500">
        <v>0</v>
      </c>
      <c r="PB500">
        <v>0</v>
      </c>
      <c r="PC500">
        <v>0</v>
      </c>
      <c r="PD500">
        <v>0</v>
      </c>
      <c r="PE500">
        <v>0</v>
      </c>
      <c r="PF500">
        <v>0</v>
      </c>
      <c r="PG500">
        <v>0</v>
      </c>
      <c r="PH500">
        <v>0</v>
      </c>
      <c r="PI500">
        <v>0</v>
      </c>
      <c r="PJ500">
        <v>0</v>
      </c>
      <c r="PK500">
        <v>0</v>
      </c>
      <c r="PL500">
        <v>0</v>
      </c>
      <c r="PM500">
        <v>0</v>
      </c>
      <c r="PN500">
        <v>0</v>
      </c>
      <c r="PO500">
        <v>0</v>
      </c>
      <c r="PP500">
        <v>0</v>
      </c>
      <c r="PQ500">
        <v>0</v>
      </c>
      <c r="PR500">
        <v>0</v>
      </c>
      <c r="PS500">
        <v>0</v>
      </c>
      <c r="PT500">
        <v>0</v>
      </c>
      <c r="PU500">
        <v>0</v>
      </c>
      <c r="PV500">
        <v>0</v>
      </c>
      <c r="PW500">
        <v>0</v>
      </c>
      <c r="PX500">
        <v>0</v>
      </c>
      <c r="PY500">
        <v>0</v>
      </c>
      <c r="PZ500">
        <v>0</v>
      </c>
      <c r="QA500">
        <v>0</v>
      </c>
      <c r="QB500">
        <v>0</v>
      </c>
      <c r="QC500">
        <v>0</v>
      </c>
      <c r="QD500">
        <v>0</v>
      </c>
      <c r="QE500">
        <v>0</v>
      </c>
      <c r="QF500">
        <v>0</v>
      </c>
      <c r="QG500">
        <v>0</v>
      </c>
      <c r="QH500">
        <v>0</v>
      </c>
      <c r="QI500">
        <v>0</v>
      </c>
      <c r="QJ500">
        <v>0</v>
      </c>
      <c r="QK500">
        <v>0</v>
      </c>
      <c r="QL500">
        <v>0</v>
      </c>
      <c r="QM500">
        <v>0</v>
      </c>
      <c r="QN500">
        <v>0</v>
      </c>
      <c r="QO500">
        <v>0</v>
      </c>
      <c r="QP500">
        <v>0</v>
      </c>
      <c r="QQ500">
        <v>0</v>
      </c>
      <c r="QR500">
        <v>0</v>
      </c>
      <c r="QS500">
        <v>0</v>
      </c>
      <c r="QT500">
        <v>0</v>
      </c>
      <c r="QU500">
        <v>0</v>
      </c>
      <c r="QV500">
        <v>0</v>
      </c>
      <c r="QW500">
        <v>0</v>
      </c>
      <c r="QX500">
        <v>0</v>
      </c>
      <c r="QY500">
        <v>0</v>
      </c>
    </row>
    <row r="501" spans="2:467" x14ac:dyDescent="0.4">
      <c r="B501" t="str">
        <f>"9784480511096"</f>
        <v>9784480511096</v>
      </c>
      <c r="C501" t="s">
        <v>601</v>
      </c>
      <c r="D501" t="s">
        <v>602</v>
      </c>
      <c r="E501" t="s">
        <v>603</v>
      </c>
      <c r="G501" t="s">
        <v>501</v>
      </c>
      <c r="H501" t="str">
        <f>"0141"</f>
        <v>0141</v>
      </c>
      <c r="I501" t="s">
        <v>481</v>
      </c>
      <c r="J501" t="s">
        <v>487</v>
      </c>
      <c r="K501" t="s">
        <v>604</v>
      </c>
      <c r="L501" s="1">
        <v>44604</v>
      </c>
      <c r="M501">
        <v>1700</v>
      </c>
      <c r="N501" t="str">
        <f>"410"</f>
        <v>410</v>
      </c>
      <c r="P501">
        <v>61</v>
      </c>
      <c r="Q501">
        <v>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1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0</v>
      </c>
      <c r="MR501">
        <v>0</v>
      </c>
      <c r="MS501">
        <v>0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60</v>
      </c>
      <c r="NG501">
        <v>0</v>
      </c>
      <c r="NH501">
        <v>0</v>
      </c>
      <c r="NI501">
        <v>0</v>
      </c>
      <c r="NJ501">
        <v>0</v>
      </c>
      <c r="NK501">
        <v>0</v>
      </c>
      <c r="NL501">
        <v>0</v>
      </c>
      <c r="NM501">
        <v>0</v>
      </c>
      <c r="NN501">
        <v>0</v>
      </c>
      <c r="NO501">
        <v>0</v>
      </c>
      <c r="NP501">
        <v>0</v>
      </c>
      <c r="NQ501">
        <v>0</v>
      </c>
      <c r="NR501">
        <v>0</v>
      </c>
      <c r="NS501">
        <v>0</v>
      </c>
      <c r="NT501">
        <v>0</v>
      </c>
      <c r="NU501">
        <v>0</v>
      </c>
      <c r="NV501">
        <v>0</v>
      </c>
      <c r="NW501">
        <v>0</v>
      </c>
      <c r="NX501">
        <v>0</v>
      </c>
      <c r="NY501">
        <v>0</v>
      </c>
      <c r="NZ501">
        <v>0</v>
      </c>
      <c r="OA501">
        <v>0</v>
      </c>
      <c r="OB501">
        <v>0</v>
      </c>
      <c r="OC501">
        <v>0</v>
      </c>
      <c r="OD501">
        <v>0</v>
      </c>
      <c r="OE501">
        <v>0</v>
      </c>
      <c r="OF501">
        <v>0</v>
      </c>
      <c r="OG501">
        <v>0</v>
      </c>
      <c r="OH501">
        <v>0</v>
      </c>
      <c r="OI501">
        <v>0</v>
      </c>
      <c r="OJ501">
        <v>0</v>
      </c>
      <c r="OK501">
        <v>0</v>
      </c>
      <c r="OL501">
        <v>0</v>
      </c>
      <c r="OM501">
        <v>0</v>
      </c>
      <c r="ON501">
        <v>0</v>
      </c>
      <c r="OO501">
        <v>0</v>
      </c>
      <c r="OP501">
        <v>0</v>
      </c>
      <c r="OQ501">
        <v>0</v>
      </c>
      <c r="OR501">
        <v>0</v>
      </c>
      <c r="OS501">
        <v>0</v>
      </c>
      <c r="OT501">
        <v>0</v>
      </c>
      <c r="OU501">
        <v>0</v>
      </c>
      <c r="OV501">
        <v>0</v>
      </c>
      <c r="OW501">
        <v>0</v>
      </c>
      <c r="OX501">
        <v>0</v>
      </c>
      <c r="OY501">
        <v>0</v>
      </c>
      <c r="OZ501">
        <v>0</v>
      </c>
      <c r="PA501">
        <v>0</v>
      </c>
      <c r="PB501">
        <v>0</v>
      </c>
      <c r="PC501">
        <v>0</v>
      </c>
      <c r="PD501">
        <v>0</v>
      </c>
      <c r="PE501">
        <v>0</v>
      </c>
      <c r="PF501">
        <v>0</v>
      </c>
      <c r="PG501">
        <v>0</v>
      </c>
      <c r="PH501">
        <v>0</v>
      </c>
      <c r="PI501">
        <v>0</v>
      </c>
      <c r="PJ501">
        <v>0</v>
      </c>
      <c r="PK501">
        <v>0</v>
      </c>
      <c r="PL501">
        <v>0</v>
      </c>
      <c r="PM501">
        <v>0</v>
      </c>
      <c r="PN501">
        <v>0</v>
      </c>
      <c r="PO501">
        <v>0</v>
      </c>
      <c r="PP501">
        <v>0</v>
      </c>
      <c r="PQ501">
        <v>0</v>
      </c>
      <c r="PR501">
        <v>0</v>
      </c>
      <c r="PS501">
        <v>0</v>
      </c>
      <c r="PT501">
        <v>0</v>
      </c>
      <c r="PU501">
        <v>0</v>
      </c>
      <c r="PV501">
        <v>0</v>
      </c>
      <c r="PW501">
        <v>0</v>
      </c>
      <c r="PX501">
        <v>0</v>
      </c>
      <c r="PY501">
        <v>0</v>
      </c>
      <c r="PZ501">
        <v>0</v>
      </c>
      <c r="QA501">
        <v>0</v>
      </c>
      <c r="QB501">
        <v>0</v>
      </c>
      <c r="QC501">
        <v>0</v>
      </c>
      <c r="QD501">
        <v>0</v>
      </c>
      <c r="QE501">
        <v>0</v>
      </c>
      <c r="QF501">
        <v>0</v>
      </c>
      <c r="QG501">
        <v>0</v>
      </c>
      <c r="QH501">
        <v>0</v>
      </c>
      <c r="QI501">
        <v>0</v>
      </c>
      <c r="QJ501">
        <v>0</v>
      </c>
      <c r="QK501">
        <v>0</v>
      </c>
      <c r="QL501">
        <v>0</v>
      </c>
      <c r="QM501">
        <v>0</v>
      </c>
      <c r="QN501">
        <v>0</v>
      </c>
      <c r="QO501">
        <v>0</v>
      </c>
      <c r="QP501">
        <v>0</v>
      </c>
      <c r="QQ501">
        <v>0</v>
      </c>
      <c r="QR501">
        <v>0</v>
      </c>
      <c r="QS501">
        <v>0</v>
      </c>
      <c r="QT501">
        <v>0</v>
      </c>
      <c r="QU501">
        <v>0</v>
      </c>
      <c r="QV501">
        <v>0</v>
      </c>
      <c r="QW501">
        <v>0</v>
      </c>
      <c r="QX501">
        <v>0</v>
      </c>
      <c r="QY501">
        <v>0</v>
      </c>
    </row>
    <row r="502" spans="2:467" hidden="1" x14ac:dyDescent="0.4">
      <c r="B502" t="str">
        <f>"9784480073327"</f>
        <v>9784480073327</v>
      </c>
      <c r="C502" t="s">
        <v>621</v>
      </c>
      <c r="D502" t="s">
        <v>622</v>
      </c>
      <c r="E502">
        <v>1511</v>
      </c>
      <c r="G502" t="s">
        <v>501</v>
      </c>
      <c r="H502" t="str">
        <f>"0237"</f>
        <v>0237</v>
      </c>
      <c r="I502" t="s">
        <v>481</v>
      </c>
      <c r="J502" t="s">
        <v>482</v>
      </c>
      <c r="K502" t="s">
        <v>569</v>
      </c>
      <c r="L502" s="1">
        <v>44050</v>
      </c>
      <c r="M502">
        <v>840</v>
      </c>
      <c r="N502" t="str">
        <f>"372.1"</f>
        <v>372.1</v>
      </c>
      <c r="P502">
        <v>57</v>
      </c>
      <c r="Q502">
        <v>2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56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1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0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0</v>
      </c>
      <c r="NK502">
        <v>0</v>
      </c>
      <c r="NL502">
        <v>0</v>
      </c>
      <c r="NM502">
        <v>0</v>
      </c>
      <c r="NN502">
        <v>0</v>
      </c>
      <c r="NO502">
        <v>0</v>
      </c>
      <c r="NP502">
        <v>0</v>
      </c>
      <c r="NQ502">
        <v>0</v>
      </c>
      <c r="NR502">
        <v>0</v>
      </c>
      <c r="NS502">
        <v>0</v>
      </c>
      <c r="NT502">
        <v>0</v>
      </c>
      <c r="NU502">
        <v>0</v>
      </c>
      <c r="NV502">
        <v>0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C502">
        <v>0</v>
      </c>
      <c r="OD502">
        <v>0</v>
      </c>
      <c r="OE502">
        <v>0</v>
      </c>
      <c r="OF502">
        <v>0</v>
      </c>
      <c r="OG502">
        <v>0</v>
      </c>
      <c r="OH502">
        <v>0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0</v>
      </c>
      <c r="PB502">
        <v>0</v>
      </c>
      <c r="PC502">
        <v>0</v>
      </c>
      <c r="PD502">
        <v>0</v>
      </c>
      <c r="PE502">
        <v>0</v>
      </c>
      <c r="PF502">
        <v>0</v>
      </c>
      <c r="PG502">
        <v>0</v>
      </c>
      <c r="PH502">
        <v>0</v>
      </c>
      <c r="PI502">
        <v>0</v>
      </c>
      <c r="PJ502">
        <v>0</v>
      </c>
      <c r="PK502">
        <v>0</v>
      </c>
      <c r="PL502">
        <v>0</v>
      </c>
      <c r="PM502">
        <v>0</v>
      </c>
      <c r="PN502">
        <v>0</v>
      </c>
      <c r="PO502">
        <v>0</v>
      </c>
      <c r="PP502">
        <v>0</v>
      </c>
      <c r="PQ502">
        <v>0</v>
      </c>
      <c r="PR502">
        <v>0</v>
      </c>
      <c r="PS502">
        <v>0</v>
      </c>
      <c r="PT502">
        <v>0</v>
      </c>
      <c r="PU502">
        <v>0</v>
      </c>
      <c r="PV502">
        <v>0</v>
      </c>
      <c r="PW502">
        <v>0</v>
      </c>
      <c r="PX502">
        <v>0</v>
      </c>
      <c r="PY502">
        <v>0</v>
      </c>
      <c r="PZ502">
        <v>0</v>
      </c>
      <c r="QA502">
        <v>0</v>
      </c>
      <c r="QB502">
        <v>0</v>
      </c>
      <c r="QC502">
        <v>0</v>
      </c>
      <c r="QD502">
        <v>0</v>
      </c>
      <c r="QE502">
        <v>0</v>
      </c>
      <c r="QF502">
        <v>0</v>
      </c>
      <c r="QG502">
        <v>0</v>
      </c>
      <c r="QH502">
        <v>0</v>
      </c>
      <c r="QI502">
        <v>0</v>
      </c>
      <c r="QJ502">
        <v>0</v>
      </c>
      <c r="QK502">
        <v>0</v>
      </c>
      <c r="QL502">
        <v>0</v>
      </c>
      <c r="QM502">
        <v>0</v>
      </c>
      <c r="QN502">
        <v>0</v>
      </c>
      <c r="QO502">
        <v>0</v>
      </c>
      <c r="QP502">
        <v>0</v>
      </c>
      <c r="QQ502">
        <v>0</v>
      </c>
      <c r="QR502">
        <v>0</v>
      </c>
      <c r="QS502">
        <v>0</v>
      </c>
      <c r="QT502">
        <v>0</v>
      </c>
      <c r="QU502">
        <v>0</v>
      </c>
      <c r="QV502">
        <v>0</v>
      </c>
      <c r="QW502">
        <v>0</v>
      </c>
      <c r="QX502">
        <v>0</v>
      </c>
      <c r="QY502">
        <v>0</v>
      </c>
    </row>
    <row r="503" spans="2:467" x14ac:dyDescent="0.4">
      <c r="B503" t="str">
        <f>"9784062764483"</f>
        <v>9784062764483</v>
      </c>
      <c r="C503" t="s">
        <v>656</v>
      </c>
      <c r="D503" t="s">
        <v>657</v>
      </c>
      <c r="E503" t="s">
        <v>658</v>
      </c>
      <c r="G503" t="s">
        <v>548</v>
      </c>
      <c r="H503" t="str">
        <f>"0195"</f>
        <v>0195</v>
      </c>
      <c r="I503" t="s">
        <v>481</v>
      </c>
      <c r="J503" t="s">
        <v>487</v>
      </c>
      <c r="K503" t="s">
        <v>509</v>
      </c>
      <c r="L503" s="1">
        <v>40037</v>
      </c>
      <c r="M503">
        <v>420</v>
      </c>
      <c r="N503" t="str">
        <f>"104"</f>
        <v>104</v>
      </c>
      <c r="P503">
        <v>50</v>
      </c>
      <c r="Q503">
        <v>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49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  <c r="NK503">
        <v>0</v>
      </c>
      <c r="NL503">
        <v>0</v>
      </c>
      <c r="NM503">
        <v>0</v>
      </c>
      <c r="NN503">
        <v>0</v>
      </c>
      <c r="NO503">
        <v>0</v>
      </c>
      <c r="NP503">
        <v>0</v>
      </c>
      <c r="NQ503">
        <v>0</v>
      </c>
      <c r="NR503">
        <v>0</v>
      </c>
      <c r="NS503">
        <v>0</v>
      </c>
      <c r="NT503">
        <v>0</v>
      </c>
      <c r="NU503">
        <v>0</v>
      </c>
      <c r="NV503">
        <v>0</v>
      </c>
      <c r="NW503">
        <v>0</v>
      </c>
      <c r="NX503">
        <v>0</v>
      </c>
      <c r="NY503">
        <v>1</v>
      </c>
      <c r="NZ503">
        <v>0</v>
      </c>
      <c r="OA503">
        <v>0</v>
      </c>
      <c r="OB503">
        <v>0</v>
      </c>
      <c r="OC503">
        <v>0</v>
      </c>
      <c r="OD503">
        <v>0</v>
      </c>
      <c r="OE503">
        <v>0</v>
      </c>
      <c r="OF503">
        <v>0</v>
      </c>
      <c r="OG503">
        <v>0</v>
      </c>
      <c r="OH503">
        <v>0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0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0</v>
      </c>
      <c r="PB503">
        <v>0</v>
      </c>
      <c r="PC503">
        <v>0</v>
      </c>
      <c r="PD503">
        <v>0</v>
      </c>
      <c r="PE503">
        <v>0</v>
      </c>
      <c r="PF503">
        <v>0</v>
      </c>
      <c r="PG503">
        <v>0</v>
      </c>
      <c r="PH503">
        <v>0</v>
      </c>
      <c r="PI503">
        <v>0</v>
      </c>
      <c r="PJ503">
        <v>0</v>
      </c>
      <c r="PK503">
        <v>0</v>
      </c>
      <c r="PL503">
        <v>0</v>
      </c>
      <c r="PM503">
        <v>0</v>
      </c>
      <c r="PN503">
        <v>0</v>
      </c>
      <c r="PO503">
        <v>0</v>
      </c>
      <c r="PP503">
        <v>0</v>
      </c>
      <c r="PQ503">
        <v>0</v>
      </c>
      <c r="PR503">
        <v>0</v>
      </c>
      <c r="PS503">
        <v>0</v>
      </c>
      <c r="PT503">
        <v>0</v>
      </c>
      <c r="PU503">
        <v>0</v>
      </c>
      <c r="PV503">
        <v>0</v>
      </c>
      <c r="PW503">
        <v>0</v>
      </c>
      <c r="PX503">
        <v>0</v>
      </c>
      <c r="PY503">
        <v>0</v>
      </c>
      <c r="PZ503">
        <v>0</v>
      </c>
      <c r="QA503">
        <v>0</v>
      </c>
      <c r="QB503">
        <v>0</v>
      </c>
      <c r="QC503">
        <v>0</v>
      </c>
      <c r="QD503">
        <v>0</v>
      </c>
      <c r="QE503">
        <v>0</v>
      </c>
      <c r="QF503">
        <v>0</v>
      </c>
      <c r="QG503">
        <v>0</v>
      </c>
      <c r="QH503">
        <v>0</v>
      </c>
      <c r="QI503">
        <v>0</v>
      </c>
      <c r="QJ503">
        <v>0</v>
      </c>
      <c r="QK503">
        <v>0</v>
      </c>
      <c r="QL503">
        <v>0</v>
      </c>
      <c r="QM503">
        <v>0</v>
      </c>
      <c r="QN503">
        <v>0</v>
      </c>
      <c r="QO503">
        <v>0</v>
      </c>
      <c r="QP503">
        <v>0</v>
      </c>
      <c r="QQ503">
        <v>0</v>
      </c>
      <c r="QR503">
        <v>0</v>
      </c>
      <c r="QS503">
        <v>0</v>
      </c>
      <c r="QT503">
        <v>0</v>
      </c>
      <c r="QU503">
        <v>0</v>
      </c>
      <c r="QV503">
        <v>0</v>
      </c>
      <c r="QW503">
        <v>0</v>
      </c>
      <c r="QX503">
        <v>0</v>
      </c>
      <c r="QY503">
        <v>0</v>
      </c>
    </row>
    <row r="504" spans="2:467" hidden="1" x14ac:dyDescent="0.4">
      <c r="B504" t="str">
        <f>"9784140886311"</f>
        <v>9784140886311</v>
      </c>
      <c r="C504" t="s">
        <v>767</v>
      </c>
      <c r="D504" t="s">
        <v>768</v>
      </c>
      <c r="E504">
        <v>631</v>
      </c>
      <c r="G504" t="s">
        <v>480</v>
      </c>
      <c r="H504" t="str">
        <f>"0233"</f>
        <v>0233</v>
      </c>
      <c r="I504" t="s">
        <v>481</v>
      </c>
      <c r="J504" t="s">
        <v>482</v>
      </c>
      <c r="K504" t="s">
        <v>537</v>
      </c>
      <c r="L504" s="1">
        <v>44050</v>
      </c>
      <c r="M504">
        <v>800</v>
      </c>
      <c r="N504" t="str">
        <f>"372.1"</f>
        <v>372.1</v>
      </c>
      <c r="P504">
        <v>35</v>
      </c>
      <c r="Q504">
        <v>2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34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0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  <c r="NG504">
        <v>0</v>
      </c>
      <c r="NH504">
        <v>0</v>
      </c>
      <c r="NI504">
        <v>0</v>
      </c>
      <c r="NJ504">
        <v>0</v>
      </c>
      <c r="NK504">
        <v>0</v>
      </c>
      <c r="NL504">
        <v>0</v>
      </c>
      <c r="NM504">
        <v>0</v>
      </c>
      <c r="NN504">
        <v>0</v>
      </c>
      <c r="NO504">
        <v>0</v>
      </c>
      <c r="NP504">
        <v>0</v>
      </c>
      <c r="NQ504">
        <v>0</v>
      </c>
      <c r="NR504">
        <v>0</v>
      </c>
      <c r="NS504">
        <v>0</v>
      </c>
      <c r="NT504">
        <v>0</v>
      </c>
      <c r="NU504">
        <v>0</v>
      </c>
      <c r="NV504">
        <v>0</v>
      </c>
      <c r="NW504">
        <v>0</v>
      </c>
      <c r="NX504">
        <v>0</v>
      </c>
      <c r="NY504">
        <v>0</v>
      </c>
      <c r="NZ504">
        <v>0</v>
      </c>
      <c r="OA504">
        <v>0</v>
      </c>
      <c r="OB504">
        <v>0</v>
      </c>
      <c r="OC504">
        <v>0</v>
      </c>
      <c r="OD504">
        <v>0</v>
      </c>
      <c r="OE504">
        <v>0</v>
      </c>
      <c r="OF504">
        <v>0</v>
      </c>
      <c r="OG504">
        <v>0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0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0</v>
      </c>
      <c r="PB504">
        <v>0</v>
      </c>
      <c r="PC504">
        <v>0</v>
      </c>
      <c r="PD504">
        <v>0</v>
      </c>
      <c r="PE504">
        <v>0</v>
      </c>
      <c r="PF504">
        <v>0</v>
      </c>
      <c r="PG504">
        <v>0</v>
      </c>
      <c r="PH504">
        <v>0</v>
      </c>
      <c r="PI504">
        <v>1</v>
      </c>
      <c r="PJ504">
        <v>0</v>
      </c>
      <c r="PK504">
        <v>0</v>
      </c>
      <c r="PL504">
        <v>0</v>
      </c>
      <c r="PM504">
        <v>0</v>
      </c>
      <c r="PN504">
        <v>0</v>
      </c>
      <c r="PO504">
        <v>0</v>
      </c>
      <c r="PP504">
        <v>0</v>
      </c>
      <c r="PQ504">
        <v>0</v>
      </c>
      <c r="PR504">
        <v>0</v>
      </c>
      <c r="PS504">
        <v>0</v>
      </c>
      <c r="PT504">
        <v>0</v>
      </c>
      <c r="PU504">
        <v>0</v>
      </c>
      <c r="PV504">
        <v>0</v>
      </c>
      <c r="PW504">
        <v>0</v>
      </c>
      <c r="PX504">
        <v>0</v>
      </c>
      <c r="PY504">
        <v>0</v>
      </c>
      <c r="PZ504">
        <v>0</v>
      </c>
      <c r="QA504">
        <v>0</v>
      </c>
      <c r="QB504">
        <v>0</v>
      </c>
      <c r="QC504">
        <v>0</v>
      </c>
      <c r="QD504">
        <v>0</v>
      </c>
      <c r="QE504">
        <v>0</v>
      </c>
      <c r="QF504">
        <v>0</v>
      </c>
      <c r="QG504">
        <v>0</v>
      </c>
      <c r="QH504">
        <v>0</v>
      </c>
      <c r="QI504">
        <v>0</v>
      </c>
      <c r="QJ504">
        <v>0</v>
      </c>
      <c r="QK504">
        <v>0</v>
      </c>
      <c r="QL504">
        <v>0</v>
      </c>
      <c r="QM504">
        <v>0</v>
      </c>
      <c r="QN504">
        <v>0</v>
      </c>
      <c r="QO504">
        <v>0</v>
      </c>
      <c r="QP504">
        <v>0</v>
      </c>
      <c r="QQ504">
        <v>0</v>
      </c>
      <c r="QR504">
        <v>0</v>
      </c>
      <c r="QS504">
        <v>0</v>
      </c>
      <c r="QT504">
        <v>0</v>
      </c>
      <c r="QU504">
        <v>0</v>
      </c>
      <c r="QV504">
        <v>0</v>
      </c>
      <c r="QW504">
        <v>0</v>
      </c>
      <c r="QX504">
        <v>0</v>
      </c>
      <c r="QY504">
        <v>0</v>
      </c>
    </row>
    <row r="505" spans="2:467" x14ac:dyDescent="0.4">
      <c r="B505" t="str">
        <f>"9784003022030"</f>
        <v>9784003022030</v>
      </c>
      <c r="C505" t="s">
        <v>810</v>
      </c>
      <c r="D505" t="s">
        <v>811</v>
      </c>
      <c r="E505" t="s">
        <v>812</v>
      </c>
      <c r="G505" t="s">
        <v>521</v>
      </c>
      <c r="H505" t="str">
        <f>"0193"</f>
        <v>0193</v>
      </c>
      <c r="I505" t="s">
        <v>481</v>
      </c>
      <c r="J505" t="s">
        <v>487</v>
      </c>
      <c r="K505" t="s">
        <v>488</v>
      </c>
      <c r="L505" s="1">
        <v>43148</v>
      </c>
      <c r="M505">
        <v>780</v>
      </c>
      <c r="N505" t="str">
        <f>"913.56"</f>
        <v>913.56</v>
      </c>
      <c r="P505">
        <v>31</v>
      </c>
      <c r="Q505">
        <v>2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30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  <c r="NG505">
        <v>0</v>
      </c>
      <c r="NH505">
        <v>0</v>
      </c>
      <c r="NI505">
        <v>0</v>
      </c>
      <c r="NJ505">
        <v>0</v>
      </c>
      <c r="NK505">
        <v>0</v>
      </c>
      <c r="NL505">
        <v>0</v>
      </c>
      <c r="NM505">
        <v>0</v>
      </c>
      <c r="NN505">
        <v>0</v>
      </c>
      <c r="NO505">
        <v>0</v>
      </c>
      <c r="NP505">
        <v>0</v>
      </c>
      <c r="NQ505">
        <v>0</v>
      </c>
      <c r="NR505">
        <v>0</v>
      </c>
      <c r="NS505">
        <v>0</v>
      </c>
      <c r="NT505">
        <v>0</v>
      </c>
      <c r="NU505">
        <v>0</v>
      </c>
      <c r="NV505">
        <v>0</v>
      </c>
      <c r="NW505">
        <v>0</v>
      </c>
      <c r="NX505">
        <v>0</v>
      </c>
      <c r="NY505">
        <v>0</v>
      </c>
      <c r="NZ505">
        <v>0</v>
      </c>
      <c r="OA505">
        <v>0</v>
      </c>
      <c r="OB505">
        <v>0</v>
      </c>
      <c r="OC505">
        <v>0</v>
      </c>
      <c r="OD505">
        <v>0</v>
      </c>
      <c r="OE505">
        <v>0</v>
      </c>
      <c r="OF505">
        <v>0</v>
      </c>
      <c r="OG505">
        <v>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0</v>
      </c>
      <c r="PB505">
        <v>0</v>
      </c>
      <c r="PC505">
        <v>0</v>
      </c>
      <c r="PD505">
        <v>0</v>
      </c>
      <c r="PE505">
        <v>0</v>
      </c>
      <c r="PF505">
        <v>0</v>
      </c>
      <c r="PG505">
        <v>0</v>
      </c>
      <c r="PH505">
        <v>0</v>
      </c>
      <c r="PI505">
        <v>0</v>
      </c>
      <c r="PJ505">
        <v>0</v>
      </c>
      <c r="PK505">
        <v>1</v>
      </c>
      <c r="PL505">
        <v>0</v>
      </c>
      <c r="PM505">
        <v>0</v>
      </c>
      <c r="PN505">
        <v>0</v>
      </c>
      <c r="PO505">
        <v>0</v>
      </c>
      <c r="PP505">
        <v>0</v>
      </c>
      <c r="PQ505">
        <v>0</v>
      </c>
      <c r="PR505">
        <v>0</v>
      </c>
      <c r="PS505">
        <v>0</v>
      </c>
      <c r="PT505">
        <v>0</v>
      </c>
      <c r="PU505">
        <v>0</v>
      </c>
      <c r="PV505">
        <v>0</v>
      </c>
      <c r="PW505">
        <v>0</v>
      </c>
      <c r="PX505">
        <v>0</v>
      </c>
      <c r="PY505">
        <v>0</v>
      </c>
      <c r="PZ505">
        <v>0</v>
      </c>
      <c r="QA505">
        <v>0</v>
      </c>
      <c r="QB505">
        <v>0</v>
      </c>
      <c r="QC505">
        <v>0</v>
      </c>
      <c r="QD505">
        <v>0</v>
      </c>
      <c r="QE505">
        <v>0</v>
      </c>
      <c r="QF505">
        <v>0</v>
      </c>
      <c r="QG505">
        <v>0</v>
      </c>
      <c r="QH505">
        <v>0</v>
      </c>
      <c r="QI505">
        <v>0</v>
      </c>
      <c r="QJ505">
        <v>0</v>
      </c>
      <c r="QK505">
        <v>0</v>
      </c>
      <c r="QL505">
        <v>0</v>
      </c>
      <c r="QM505">
        <v>0</v>
      </c>
      <c r="QN505">
        <v>0</v>
      </c>
      <c r="QO505">
        <v>0</v>
      </c>
      <c r="QP505">
        <v>0</v>
      </c>
      <c r="QQ505">
        <v>0</v>
      </c>
      <c r="QR505">
        <v>0</v>
      </c>
      <c r="QS505">
        <v>0</v>
      </c>
      <c r="QT505">
        <v>0</v>
      </c>
      <c r="QU505">
        <v>0</v>
      </c>
      <c r="QV505">
        <v>0</v>
      </c>
      <c r="QW505">
        <v>0</v>
      </c>
      <c r="QX505">
        <v>0</v>
      </c>
      <c r="QY505">
        <v>0</v>
      </c>
    </row>
    <row r="506" spans="2:467" hidden="1" x14ac:dyDescent="0.4">
      <c r="B506" t="str">
        <f>"9784560721339"</f>
        <v>9784560721339</v>
      </c>
      <c r="C506" t="s">
        <v>837</v>
      </c>
      <c r="D506" t="s">
        <v>838</v>
      </c>
      <c r="E506">
        <v>1133</v>
      </c>
      <c r="G506" t="s">
        <v>839</v>
      </c>
      <c r="H506" t="str">
        <f>"0295"</f>
        <v>0295</v>
      </c>
      <c r="I506" t="s">
        <v>481</v>
      </c>
      <c r="J506" t="s">
        <v>482</v>
      </c>
      <c r="K506" t="s">
        <v>509</v>
      </c>
      <c r="L506" s="1">
        <v>43358</v>
      </c>
      <c r="M506">
        <v>1400</v>
      </c>
      <c r="N506" t="str">
        <f>"810.4"</f>
        <v>810.4</v>
      </c>
      <c r="P506">
        <v>29</v>
      </c>
      <c r="Q506">
        <v>2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1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28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0</v>
      </c>
      <c r="ND506">
        <v>0</v>
      </c>
      <c r="NE506">
        <v>0</v>
      </c>
      <c r="NF506">
        <v>0</v>
      </c>
      <c r="NG506">
        <v>0</v>
      </c>
      <c r="NH506">
        <v>0</v>
      </c>
      <c r="NI506">
        <v>0</v>
      </c>
      <c r="NJ506">
        <v>0</v>
      </c>
      <c r="NK506">
        <v>0</v>
      </c>
      <c r="NL506">
        <v>0</v>
      </c>
      <c r="NM506">
        <v>0</v>
      </c>
      <c r="NN506">
        <v>0</v>
      </c>
      <c r="NO506">
        <v>0</v>
      </c>
      <c r="NP506">
        <v>0</v>
      </c>
      <c r="NQ506">
        <v>0</v>
      </c>
      <c r="NR506">
        <v>0</v>
      </c>
      <c r="NS506">
        <v>0</v>
      </c>
      <c r="NT506">
        <v>0</v>
      </c>
      <c r="NU506">
        <v>0</v>
      </c>
      <c r="NV506">
        <v>0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C506">
        <v>0</v>
      </c>
      <c r="OD506">
        <v>0</v>
      </c>
      <c r="OE506">
        <v>0</v>
      </c>
      <c r="OF506">
        <v>0</v>
      </c>
      <c r="OG506">
        <v>0</v>
      </c>
      <c r="OH506">
        <v>0</v>
      </c>
      <c r="OI506">
        <v>0</v>
      </c>
      <c r="OJ506">
        <v>0</v>
      </c>
      <c r="OK506">
        <v>0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0</v>
      </c>
      <c r="PB506">
        <v>0</v>
      </c>
      <c r="PC506">
        <v>0</v>
      </c>
      <c r="PD506">
        <v>0</v>
      </c>
      <c r="PE506">
        <v>0</v>
      </c>
      <c r="PF506">
        <v>0</v>
      </c>
      <c r="PG506">
        <v>0</v>
      </c>
      <c r="PH506">
        <v>0</v>
      </c>
      <c r="PI506">
        <v>0</v>
      </c>
      <c r="PJ506">
        <v>0</v>
      </c>
      <c r="PK506">
        <v>0</v>
      </c>
      <c r="PL506">
        <v>0</v>
      </c>
      <c r="PM506">
        <v>0</v>
      </c>
      <c r="PN506">
        <v>0</v>
      </c>
      <c r="PO506">
        <v>0</v>
      </c>
      <c r="PP506">
        <v>0</v>
      </c>
      <c r="PQ506">
        <v>0</v>
      </c>
      <c r="PR506">
        <v>0</v>
      </c>
      <c r="PS506">
        <v>0</v>
      </c>
      <c r="PT506">
        <v>0</v>
      </c>
      <c r="PU506">
        <v>0</v>
      </c>
      <c r="PV506">
        <v>0</v>
      </c>
      <c r="PW506">
        <v>0</v>
      </c>
      <c r="PX506">
        <v>0</v>
      </c>
      <c r="PY506">
        <v>0</v>
      </c>
      <c r="PZ506">
        <v>0</v>
      </c>
      <c r="QA506">
        <v>0</v>
      </c>
      <c r="QB506">
        <v>0</v>
      </c>
      <c r="QC506">
        <v>0</v>
      </c>
      <c r="QD506">
        <v>0</v>
      </c>
      <c r="QE506">
        <v>0</v>
      </c>
      <c r="QF506">
        <v>0</v>
      </c>
      <c r="QG506">
        <v>0</v>
      </c>
      <c r="QH506">
        <v>0</v>
      </c>
      <c r="QI506">
        <v>0</v>
      </c>
      <c r="QJ506">
        <v>0</v>
      </c>
      <c r="QK506">
        <v>0</v>
      </c>
      <c r="QL506">
        <v>0</v>
      </c>
      <c r="QM506">
        <v>0</v>
      </c>
      <c r="QN506">
        <v>0</v>
      </c>
      <c r="QO506">
        <v>0</v>
      </c>
      <c r="QP506">
        <v>0</v>
      </c>
      <c r="QQ506">
        <v>0</v>
      </c>
      <c r="QR506">
        <v>0</v>
      </c>
      <c r="QS506">
        <v>0</v>
      </c>
      <c r="QT506">
        <v>0</v>
      </c>
      <c r="QU506">
        <v>0</v>
      </c>
      <c r="QV506">
        <v>0</v>
      </c>
      <c r="QW506">
        <v>0</v>
      </c>
      <c r="QX506">
        <v>0</v>
      </c>
      <c r="QY506">
        <v>0</v>
      </c>
    </row>
    <row r="507" spans="2:467" hidden="1" x14ac:dyDescent="0.4">
      <c r="B507" t="str">
        <f>"9784532105372"</f>
        <v>9784532105372</v>
      </c>
      <c r="C507" t="s">
        <v>985</v>
      </c>
      <c r="D507" t="s">
        <v>986</v>
      </c>
      <c r="E507">
        <v>537</v>
      </c>
      <c r="G507" t="s">
        <v>987</v>
      </c>
      <c r="H507" t="str">
        <f>"1234"</f>
        <v>1234</v>
      </c>
      <c r="I507" t="s">
        <v>541</v>
      </c>
      <c r="J507" t="s">
        <v>482</v>
      </c>
      <c r="K507" t="s">
        <v>957</v>
      </c>
      <c r="L507" s="1">
        <v>39676</v>
      </c>
      <c r="M507">
        <v>860</v>
      </c>
      <c r="N507" t="str">
        <f>"336.3"</f>
        <v>336.3</v>
      </c>
      <c r="P507">
        <v>21</v>
      </c>
      <c r="Q507">
        <v>2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1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20</v>
      </c>
      <c r="NF507">
        <v>0</v>
      </c>
      <c r="NG507">
        <v>0</v>
      </c>
      <c r="NH507">
        <v>0</v>
      </c>
      <c r="NI507">
        <v>0</v>
      </c>
      <c r="NJ507">
        <v>0</v>
      </c>
      <c r="NK507">
        <v>0</v>
      </c>
      <c r="NL507">
        <v>0</v>
      </c>
      <c r="NM507">
        <v>0</v>
      </c>
      <c r="NN507">
        <v>0</v>
      </c>
      <c r="NO507">
        <v>0</v>
      </c>
      <c r="NP507">
        <v>0</v>
      </c>
      <c r="NQ507">
        <v>0</v>
      </c>
      <c r="NR507">
        <v>0</v>
      </c>
      <c r="NS507">
        <v>0</v>
      </c>
      <c r="NT507">
        <v>0</v>
      </c>
      <c r="NU507">
        <v>0</v>
      </c>
      <c r="NV507">
        <v>0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C507">
        <v>0</v>
      </c>
      <c r="OD507">
        <v>0</v>
      </c>
      <c r="OE507">
        <v>0</v>
      </c>
      <c r="OF507">
        <v>0</v>
      </c>
      <c r="OG507">
        <v>0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0</v>
      </c>
      <c r="PB507">
        <v>0</v>
      </c>
      <c r="PC507">
        <v>0</v>
      </c>
      <c r="PD507">
        <v>0</v>
      </c>
      <c r="PE507">
        <v>0</v>
      </c>
      <c r="PF507">
        <v>0</v>
      </c>
      <c r="PG507">
        <v>0</v>
      </c>
      <c r="PH507">
        <v>0</v>
      </c>
      <c r="PI507">
        <v>0</v>
      </c>
      <c r="PJ507">
        <v>0</v>
      </c>
      <c r="PK507">
        <v>0</v>
      </c>
      <c r="PL507">
        <v>0</v>
      </c>
      <c r="PM507">
        <v>0</v>
      </c>
      <c r="PN507">
        <v>0</v>
      </c>
      <c r="PO507">
        <v>0</v>
      </c>
      <c r="PP507">
        <v>0</v>
      </c>
      <c r="PQ507">
        <v>0</v>
      </c>
      <c r="PR507">
        <v>0</v>
      </c>
      <c r="PS507">
        <v>0</v>
      </c>
      <c r="PT507">
        <v>0</v>
      </c>
      <c r="PU507">
        <v>0</v>
      </c>
      <c r="PV507">
        <v>0</v>
      </c>
      <c r="PW507">
        <v>0</v>
      </c>
      <c r="PX507">
        <v>0</v>
      </c>
      <c r="PY507">
        <v>0</v>
      </c>
      <c r="PZ507">
        <v>0</v>
      </c>
      <c r="QA507">
        <v>0</v>
      </c>
      <c r="QB507">
        <v>0</v>
      </c>
      <c r="QC507">
        <v>0</v>
      </c>
      <c r="QD507">
        <v>0</v>
      </c>
      <c r="QE507">
        <v>0</v>
      </c>
      <c r="QF507">
        <v>0</v>
      </c>
      <c r="QG507">
        <v>0</v>
      </c>
      <c r="QH507">
        <v>0</v>
      </c>
      <c r="QI507">
        <v>0</v>
      </c>
      <c r="QJ507">
        <v>0</v>
      </c>
      <c r="QK507">
        <v>0</v>
      </c>
      <c r="QL507">
        <v>0</v>
      </c>
      <c r="QM507">
        <v>0</v>
      </c>
      <c r="QN507">
        <v>0</v>
      </c>
      <c r="QO507">
        <v>0</v>
      </c>
      <c r="QP507">
        <v>0</v>
      </c>
      <c r="QQ507">
        <v>0</v>
      </c>
      <c r="QR507">
        <v>0</v>
      </c>
      <c r="QS507">
        <v>0</v>
      </c>
      <c r="QT507">
        <v>0</v>
      </c>
      <c r="QU507">
        <v>0</v>
      </c>
      <c r="QV507">
        <v>0</v>
      </c>
      <c r="QW507">
        <v>0</v>
      </c>
      <c r="QX507">
        <v>0</v>
      </c>
      <c r="QY507">
        <v>0</v>
      </c>
    </row>
    <row r="508" spans="2:467" hidden="1" x14ac:dyDescent="0.4">
      <c r="B508" t="str">
        <f>"9784040823737"</f>
        <v>9784040823737</v>
      </c>
      <c r="C508" t="s">
        <v>1022</v>
      </c>
      <c r="D508" t="s">
        <v>1023</v>
      </c>
      <c r="E508" t="s">
        <v>1024</v>
      </c>
      <c r="G508" t="s">
        <v>597</v>
      </c>
      <c r="H508" t="str">
        <f>"0231"</f>
        <v>0231</v>
      </c>
      <c r="I508" t="s">
        <v>481</v>
      </c>
      <c r="J508" t="s">
        <v>482</v>
      </c>
      <c r="K508" t="s">
        <v>502</v>
      </c>
      <c r="L508" s="1">
        <v>44539</v>
      </c>
      <c r="M508">
        <v>900</v>
      </c>
      <c r="N508" t="str">
        <f>"662.1"</f>
        <v>662.1</v>
      </c>
      <c r="P508">
        <v>19</v>
      </c>
      <c r="Q508">
        <v>2</v>
      </c>
      <c r="R508">
        <v>0</v>
      </c>
      <c r="S508">
        <v>0</v>
      </c>
      <c r="T508">
        <v>18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1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  <c r="NK508">
        <v>0</v>
      </c>
      <c r="NL508">
        <v>0</v>
      </c>
      <c r="NM508">
        <v>0</v>
      </c>
      <c r="NN508">
        <v>0</v>
      </c>
      <c r="NO508">
        <v>0</v>
      </c>
      <c r="NP508">
        <v>0</v>
      </c>
      <c r="NQ508">
        <v>0</v>
      </c>
      <c r="NR508">
        <v>0</v>
      </c>
      <c r="NS508">
        <v>0</v>
      </c>
      <c r="NT508">
        <v>0</v>
      </c>
      <c r="NU508">
        <v>0</v>
      </c>
      <c r="NV508">
        <v>0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C508">
        <v>0</v>
      </c>
      <c r="OD508">
        <v>0</v>
      </c>
      <c r="OE508">
        <v>0</v>
      </c>
      <c r="OF508">
        <v>0</v>
      </c>
      <c r="OG508">
        <v>0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0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0</v>
      </c>
      <c r="PA508">
        <v>0</v>
      </c>
      <c r="PB508">
        <v>0</v>
      </c>
      <c r="PC508">
        <v>0</v>
      </c>
      <c r="PD508">
        <v>0</v>
      </c>
      <c r="PE508">
        <v>0</v>
      </c>
      <c r="PF508">
        <v>0</v>
      </c>
      <c r="PG508">
        <v>0</v>
      </c>
      <c r="PH508">
        <v>0</v>
      </c>
      <c r="PI508">
        <v>0</v>
      </c>
      <c r="PJ508">
        <v>0</v>
      </c>
      <c r="PK508">
        <v>0</v>
      </c>
      <c r="PL508">
        <v>0</v>
      </c>
      <c r="PM508">
        <v>0</v>
      </c>
      <c r="PN508">
        <v>0</v>
      </c>
      <c r="PO508">
        <v>0</v>
      </c>
      <c r="PP508">
        <v>0</v>
      </c>
      <c r="PQ508">
        <v>0</v>
      </c>
      <c r="PR508">
        <v>0</v>
      </c>
      <c r="PS508">
        <v>0</v>
      </c>
      <c r="PT508">
        <v>0</v>
      </c>
      <c r="PU508">
        <v>0</v>
      </c>
      <c r="PV508">
        <v>0</v>
      </c>
      <c r="PW508">
        <v>0</v>
      </c>
      <c r="PX508">
        <v>0</v>
      </c>
      <c r="PY508">
        <v>0</v>
      </c>
      <c r="PZ508">
        <v>0</v>
      </c>
      <c r="QA508">
        <v>0</v>
      </c>
      <c r="QB508">
        <v>0</v>
      </c>
      <c r="QC508">
        <v>0</v>
      </c>
      <c r="QD508">
        <v>0</v>
      </c>
      <c r="QE508">
        <v>0</v>
      </c>
      <c r="QF508">
        <v>0</v>
      </c>
      <c r="QG508">
        <v>0</v>
      </c>
      <c r="QH508">
        <v>0</v>
      </c>
      <c r="QI508">
        <v>0</v>
      </c>
      <c r="QJ508">
        <v>0</v>
      </c>
      <c r="QK508">
        <v>0</v>
      </c>
      <c r="QL508">
        <v>0</v>
      </c>
      <c r="QM508">
        <v>0</v>
      </c>
      <c r="QN508">
        <v>0</v>
      </c>
      <c r="QO508">
        <v>0</v>
      </c>
      <c r="QP508">
        <v>0</v>
      </c>
      <c r="QQ508">
        <v>0</v>
      </c>
      <c r="QR508">
        <v>0</v>
      </c>
      <c r="QS508">
        <v>0</v>
      </c>
      <c r="QT508">
        <v>0</v>
      </c>
      <c r="QU508">
        <v>0</v>
      </c>
      <c r="QV508">
        <v>0</v>
      </c>
      <c r="QW508">
        <v>0</v>
      </c>
      <c r="QX508">
        <v>0</v>
      </c>
      <c r="QY508">
        <v>0</v>
      </c>
    </row>
    <row r="509" spans="2:467" hidden="1" x14ac:dyDescent="0.4">
      <c r="B509" t="str">
        <f>"9784062570374"</f>
        <v>9784062570374</v>
      </c>
      <c r="C509" t="s">
        <v>1115</v>
      </c>
      <c r="D509" t="s">
        <v>1116</v>
      </c>
      <c r="E509" t="s">
        <v>1117</v>
      </c>
      <c r="G509" t="s">
        <v>548</v>
      </c>
      <c r="H509" t="str">
        <f>"0241"</f>
        <v>0241</v>
      </c>
      <c r="I509" t="s">
        <v>481</v>
      </c>
      <c r="J509" t="s">
        <v>482</v>
      </c>
      <c r="K509" t="s">
        <v>604</v>
      </c>
      <c r="L509" s="1">
        <v>34578</v>
      </c>
      <c r="M509">
        <v>920</v>
      </c>
      <c r="N509" t="str">
        <f>"413.6"</f>
        <v>413.6</v>
      </c>
      <c r="P509">
        <v>18</v>
      </c>
      <c r="Q509">
        <v>2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1</v>
      </c>
      <c r="CI509">
        <v>17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0</v>
      </c>
      <c r="NK509">
        <v>0</v>
      </c>
      <c r="NL509">
        <v>0</v>
      </c>
      <c r="NM509">
        <v>0</v>
      </c>
      <c r="NN509">
        <v>0</v>
      </c>
      <c r="NO509">
        <v>0</v>
      </c>
      <c r="NP509">
        <v>0</v>
      </c>
      <c r="NQ509">
        <v>0</v>
      </c>
      <c r="NR509">
        <v>0</v>
      </c>
      <c r="NS509">
        <v>0</v>
      </c>
      <c r="NT509">
        <v>0</v>
      </c>
      <c r="NU509">
        <v>0</v>
      </c>
      <c r="NV509">
        <v>0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C509">
        <v>0</v>
      </c>
      <c r="OD509">
        <v>0</v>
      </c>
      <c r="OE509">
        <v>0</v>
      </c>
      <c r="OF509">
        <v>0</v>
      </c>
      <c r="OG509">
        <v>0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0</v>
      </c>
      <c r="OO509">
        <v>0</v>
      </c>
      <c r="OP509">
        <v>0</v>
      </c>
      <c r="OQ509">
        <v>0</v>
      </c>
      <c r="OR509">
        <v>0</v>
      </c>
      <c r="OS509">
        <v>0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0</v>
      </c>
      <c r="PB509">
        <v>0</v>
      </c>
      <c r="PC509">
        <v>0</v>
      </c>
      <c r="PD509">
        <v>0</v>
      </c>
      <c r="PE509">
        <v>0</v>
      </c>
      <c r="PF509">
        <v>0</v>
      </c>
      <c r="PG509">
        <v>0</v>
      </c>
      <c r="PH509">
        <v>0</v>
      </c>
      <c r="PI509">
        <v>0</v>
      </c>
      <c r="PJ509">
        <v>0</v>
      </c>
      <c r="PK509">
        <v>0</v>
      </c>
      <c r="PL509">
        <v>0</v>
      </c>
      <c r="PM509">
        <v>0</v>
      </c>
      <c r="PN509">
        <v>0</v>
      </c>
      <c r="PO509">
        <v>0</v>
      </c>
      <c r="PP509">
        <v>0</v>
      </c>
      <c r="PQ509">
        <v>0</v>
      </c>
      <c r="PR509">
        <v>0</v>
      </c>
      <c r="PS509">
        <v>0</v>
      </c>
      <c r="PT509">
        <v>0</v>
      </c>
      <c r="PU509">
        <v>0</v>
      </c>
      <c r="PV509">
        <v>0</v>
      </c>
      <c r="PW509">
        <v>0</v>
      </c>
      <c r="PX509">
        <v>0</v>
      </c>
      <c r="PY509">
        <v>0</v>
      </c>
      <c r="PZ509">
        <v>0</v>
      </c>
      <c r="QA509">
        <v>0</v>
      </c>
      <c r="QB509">
        <v>0</v>
      </c>
      <c r="QC509">
        <v>0</v>
      </c>
      <c r="QD509">
        <v>0</v>
      </c>
      <c r="QE509">
        <v>0</v>
      </c>
      <c r="QF509">
        <v>0</v>
      </c>
      <c r="QG509">
        <v>0</v>
      </c>
      <c r="QH509">
        <v>0</v>
      </c>
      <c r="QI509">
        <v>0</v>
      </c>
      <c r="QJ509">
        <v>0</v>
      </c>
      <c r="QK509">
        <v>0</v>
      </c>
      <c r="QL509">
        <v>0</v>
      </c>
      <c r="QM509">
        <v>0</v>
      </c>
      <c r="QN509">
        <v>0</v>
      </c>
      <c r="QO509">
        <v>0</v>
      </c>
      <c r="QP509">
        <v>0</v>
      </c>
      <c r="QQ509">
        <v>0</v>
      </c>
      <c r="QR509">
        <v>0</v>
      </c>
      <c r="QS509">
        <v>0</v>
      </c>
      <c r="QT509">
        <v>0</v>
      </c>
      <c r="QU509">
        <v>0</v>
      </c>
      <c r="QV509">
        <v>0</v>
      </c>
      <c r="QW509">
        <v>0</v>
      </c>
      <c r="QX509">
        <v>0</v>
      </c>
      <c r="QY509">
        <v>0</v>
      </c>
    </row>
    <row r="510" spans="2:467" hidden="1" x14ac:dyDescent="0.4">
      <c r="B510" t="str">
        <f>"9784121507419"</f>
        <v>9784121507419</v>
      </c>
      <c r="C510" t="s">
        <v>1239</v>
      </c>
      <c r="D510" t="s">
        <v>930</v>
      </c>
      <c r="E510">
        <v>741</v>
      </c>
      <c r="G510" t="s">
        <v>540</v>
      </c>
      <c r="H510" t="str">
        <f>"1236"</f>
        <v>1236</v>
      </c>
      <c r="I510" t="s">
        <v>541</v>
      </c>
      <c r="J510" t="s">
        <v>482</v>
      </c>
      <c r="K510" t="s">
        <v>505</v>
      </c>
      <c r="L510" s="1">
        <v>44448</v>
      </c>
      <c r="M510">
        <v>920</v>
      </c>
      <c r="N510" t="str">
        <f>"361.8"</f>
        <v>361.8</v>
      </c>
      <c r="P510">
        <v>15</v>
      </c>
      <c r="Q510">
        <v>2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1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14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0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0</v>
      </c>
      <c r="MS510">
        <v>0</v>
      </c>
      <c r="MT510">
        <v>0</v>
      </c>
      <c r="MU510">
        <v>0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0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0</v>
      </c>
      <c r="NK510">
        <v>0</v>
      </c>
      <c r="NL510">
        <v>0</v>
      </c>
      <c r="NM510">
        <v>0</v>
      </c>
      <c r="NN510">
        <v>0</v>
      </c>
      <c r="NO510">
        <v>0</v>
      </c>
      <c r="NP510">
        <v>0</v>
      </c>
      <c r="NQ510">
        <v>0</v>
      </c>
      <c r="NR510">
        <v>0</v>
      </c>
      <c r="NS510">
        <v>0</v>
      </c>
      <c r="NT510">
        <v>0</v>
      </c>
      <c r="NU510">
        <v>0</v>
      </c>
      <c r="NV510">
        <v>0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C510">
        <v>0</v>
      </c>
      <c r="OD510">
        <v>0</v>
      </c>
      <c r="OE510">
        <v>0</v>
      </c>
      <c r="OF510">
        <v>0</v>
      </c>
      <c r="OG510">
        <v>0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0</v>
      </c>
      <c r="PA510">
        <v>0</v>
      </c>
      <c r="PB510">
        <v>0</v>
      </c>
      <c r="PC510">
        <v>0</v>
      </c>
      <c r="PD510">
        <v>0</v>
      </c>
      <c r="PE510">
        <v>0</v>
      </c>
      <c r="PF510">
        <v>0</v>
      </c>
      <c r="PG510">
        <v>0</v>
      </c>
      <c r="PH510">
        <v>0</v>
      </c>
      <c r="PI510">
        <v>0</v>
      </c>
      <c r="PJ510">
        <v>0</v>
      </c>
      <c r="PK510">
        <v>0</v>
      </c>
      <c r="PL510">
        <v>0</v>
      </c>
      <c r="PM510">
        <v>0</v>
      </c>
      <c r="PN510">
        <v>0</v>
      </c>
      <c r="PO510">
        <v>0</v>
      </c>
      <c r="PP510">
        <v>0</v>
      </c>
      <c r="PQ510">
        <v>0</v>
      </c>
      <c r="PR510">
        <v>0</v>
      </c>
      <c r="PS510">
        <v>0</v>
      </c>
      <c r="PT510">
        <v>0</v>
      </c>
      <c r="PU510">
        <v>0</v>
      </c>
      <c r="PV510">
        <v>0</v>
      </c>
      <c r="PW510">
        <v>0</v>
      </c>
      <c r="PX510">
        <v>0</v>
      </c>
      <c r="PY510">
        <v>0</v>
      </c>
      <c r="PZ510">
        <v>0</v>
      </c>
      <c r="QA510">
        <v>0</v>
      </c>
      <c r="QB510">
        <v>0</v>
      </c>
      <c r="QC510">
        <v>0</v>
      </c>
      <c r="QD510">
        <v>0</v>
      </c>
      <c r="QE510">
        <v>0</v>
      </c>
      <c r="QF510">
        <v>0</v>
      </c>
      <c r="QG510">
        <v>0</v>
      </c>
      <c r="QH510">
        <v>0</v>
      </c>
      <c r="QI510">
        <v>0</v>
      </c>
      <c r="QJ510">
        <v>0</v>
      </c>
      <c r="QK510">
        <v>0</v>
      </c>
      <c r="QL510">
        <v>0</v>
      </c>
      <c r="QM510">
        <v>0</v>
      </c>
      <c r="QN510">
        <v>0</v>
      </c>
      <c r="QO510">
        <v>0</v>
      </c>
      <c r="QP510">
        <v>0</v>
      </c>
      <c r="QQ510">
        <v>0</v>
      </c>
      <c r="QR510">
        <v>0</v>
      </c>
      <c r="QS510">
        <v>0</v>
      </c>
      <c r="QT510">
        <v>0</v>
      </c>
      <c r="QU510">
        <v>0</v>
      </c>
      <c r="QV510">
        <v>0</v>
      </c>
      <c r="QW510">
        <v>0</v>
      </c>
      <c r="QX510">
        <v>0</v>
      </c>
      <c r="QY510">
        <v>0</v>
      </c>
    </row>
    <row r="511" spans="2:467" hidden="1" x14ac:dyDescent="0.4">
      <c r="B511" t="str">
        <f>"9784106109638"</f>
        <v>9784106109638</v>
      </c>
      <c r="C511" t="s">
        <v>1317</v>
      </c>
      <c r="D511" t="s">
        <v>1318</v>
      </c>
      <c r="E511">
        <v>963</v>
      </c>
      <c r="G511" t="s">
        <v>516</v>
      </c>
      <c r="H511" t="str">
        <f>"0236"</f>
        <v>0236</v>
      </c>
      <c r="I511" t="s">
        <v>481</v>
      </c>
      <c r="J511" t="s">
        <v>482</v>
      </c>
      <c r="K511" t="s">
        <v>505</v>
      </c>
      <c r="L511" s="1">
        <v>44791</v>
      </c>
      <c r="M511">
        <v>820</v>
      </c>
      <c r="N511" t="str">
        <f>"281"</f>
        <v>281</v>
      </c>
      <c r="P511">
        <v>14</v>
      </c>
      <c r="Q511">
        <v>2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13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1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0</v>
      </c>
      <c r="MQ511">
        <v>0</v>
      </c>
      <c r="MR511">
        <v>0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0</v>
      </c>
      <c r="NF511">
        <v>0</v>
      </c>
      <c r="NG511">
        <v>0</v>
      </c>
      <c r="NH511">
        <v>0</v>
      </c>
      <c r="NI511">
        <v>0</v>
      </c>
      <c r="NJ511">
        <v>0</v>
      </c>
      <c r="NK511">
        <v>0</v>
      </c>
      <c r="NL511">
        <v>0</v>
      </c>
      <c r="NM511">
        <v>0</v>
      </c>
      <c r="NN511">
        <v>0</v>
      </c>
      <c r="NO511">
        <v>0</v>
      </c>
      <c r="NP511">
        <v>0</v>
      </c>
      <c r="NQ511">
        <v>0</v>
      </c>
      <c r="NR511">
        <v>0</v>
      </c>
      <c r="NS511">
        <v>0</v>
      </c>
      <c r="NT511">
        <v>0</v>
      </c>
      <c r="NU511">
        <v>0</v>
      </c>
      <c r="NV511">
        <v>0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C511">
        <v>0</v>
      </c>
      <c r="OD511">
        <v>0</v>
      </c>
      <c r="OE511">
        <v>0</v>
      </c>
      <c r="OF511">
        <v>0</v>
      </c>
      <c r="OG511">
        <v>0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0</v>
      </c>
      <c r="PB511">
        <v>0</v>
      </c>
      <c r="PC511">
        <v>0</v>
      </c>
      <c r="PD511">
        <v>0</v>
      </c>
      <c r="PE511">
        <v>0</v>
      </c>
      <c r="PF511">
        <v>0</v>
      </c>
      <c r="PG511">
        <v>0</v>
      </c>
      <c r="PH511">
        <v>0</v>
      </c>
      <c r="PI511">
        <v>0</v>
      </c>
      <c r="PJ511">
        <v>0</v>
      </c>
      <c r="PK511">
        <v>0</v>
      </c>
      <c r="PL511">
        <v>0</v>
      </c>
      <c r="PM511">
        <v>0</v>
      </c>
      <c r="PN511">
        <v>0</v>
      </c>
      <c r="PO511">
        <v>0</v>
      </c>
      <c r="PP511">
        <v>0</v>
      </c>
      <c r="PQ511">
        <v>0</v>
      </c>
      <c r="PR511">
        <v>0</v>
      </c>
      <c r="PS511">
        <v>0</v>
      </c>
      <c r="PT511">
        <v>0</v>
      </c>
      <c r="PU511">
        <v>0</v>
      </c>
      <c r="PV511">
        <v>0</v>
      </c>
      <c r="PW511">
        <v>0</v>
      </c>
      <c r="PX511">
        <v>0</v>
      </c>
      <c r="PY511">
        <v>0</v>
      </c>
      <c r="PZ511">
        <v>0</v>
      </c>
      <c r="QA511">
        <v>0</v>
      </c>
      <c r="QB511">
        <v>0</v>
      </c>
      <c r="QC511">
        <v>0</v>
      </c>
      <c r="QD511">
        <v>0</v>
      </c>
      <c r="QE511">
        <v>0</v>
      </c>
      <c r="QF511">
        <v>0</v>
      </c>
      <c r="QG511">
        <v>0</v>
      </c>
      <c r="QH511">
        <v>0</v>
      </c>
      <c r="QI511">
        <v>0</v>
      </c>
      <c r="QJ511">
        <v>0</v>
      </c>
      <c r="QK511">
        <v>0</v>
      </c>
      <c r="QL511">
        <v>0</v>
      </c>
      <c r="QM511">
        <v>0</v>
      </c>
      <c r="QN511">
        <v>0</v>
      </c>
      <c r="QO511">
        <v>0</v>
      </c>
      <c r="QP511">
        <v>0</v>
      </c>
      <c r="QQ511">
        <v>0</v>
      </c>
      <c r="QR511">
        <v>0</v>
      </c>
      <c r="QS511">
        <v>0</v>
      </c>
      <c r="QT511">
        <v>0</v>
      </c>
      <c r="QU511">
        <v>0</v>
      </c>
      <c r="QV511">
        <v>0</v>
      </c>
      <c r="QW511">
        <v>0</v>
      </c>
      <c r="QX511">
        <v>0</v>
      </c>
      <c r="QY511">
        <v>0</v>
      </c>
    </row>
    <row r="512" spans="2:467" hidden="1" x14ac:dyDescent="0.4">
      <c r="B512" t="str">
        <f>"9784121024473"</f>
        <v>9784121024473</v>
      </c>
      <c r="C512" t="s">
        <v>1447</v>
      </c>
      <c r="D512" t="s">
        <v>902</v>
      </c>
      <c r="E512">
        <v>2447</v>
      </c>
      <c r="G512" t="s">
        <v>540</v>
      </c>
      <c r="H512" t="str">
        <f>"1233"</f>
        <v>1233</v>
      </c>
      <c r="I512" t="s">
        <v>541</v>
      </c>
      <c r="J512" t="s">
        <v>482</v>
      </c>
      <c r="K512" t="s">
        <v>537</v>
      </c>
      <c r="L512" s="1">
        <v>42965</v>
      </c>
      <c r="M512">
        <v>820</v>
      </c>
      <c r="N512" t="str">
        <f>"331.844"</f>
        <v>331.844</v>
      </c>
      <c r="P512">
        <v>12</v>
      </c>
      <c r="Q512">
        <v>2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2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0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0</v>
      </c>
      <c r="MP512">
        <v>0</v>
      </c>
      <c r="MQ512">
        <v>0</v>
      </c>
      <c r="MR512">
        <v>0</v>
      </c>
      <c r="MS512">
        <v>0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0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0</v>
      </c>
      <c r="NK512">
        <v>0</v>
      </c>
      <c r="NL512">
        <v>0</v>
      </c>
      <c r="NM512">
        <v>0</v>
      </c>
      <c r="NN512">
        <v>0</v>
      </c>
      <c r="NO512">
        <v>0</v>
      </c>
      <c r="NP512">
        <v>0</v>
      </c>
      <c r="NQ512">
        <v>0</v>
      </c>
      <c r="NR512">
        <v>0</v>
      </c>
      <c r="NS512">
        <v>0</v>
      </c>
      <c r="NT512">
        <v>0</v>
      </c>
      <c r="NU512">
        <v>0</v>
      </c>
      <c r="NV512">
        <v>0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C512">
        <v>0</v>
      </c>
      <c r="OD512">
        <v>0</v>
      </c>
      <c r="OE512">
        <v>0</v>
      </c>
      <c r="OF512">
        <v>0</v>
      </c>
      <c r="OG512">
        <v>0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0</v>
      </c>
      <c r="PB512">
        <v>0</v>
      </c>
      <c r="PC512">
        <v>0</v>
      </c>
      <c r="PD512">
        <v>0</v>
      </c>
      <c r="PE512">
        <v>0</v>
      </c>
      <c r="PF512">
        <v>0</v>
      </c>
      <c r="PG512">
        <v>0</v>
      </c>
      <c r="PH512">
        <v>0</v>
      </c>
      <c r="PI512">
        <v>0</v>
      </c>
      <c r="PJ512">
        <v>0</v>
      </c>
      <c r="PK512">
        <v>0</v>
      </c>
      <c r="PL512">
        <v>0</v>
      </c>
      <c r="PM512">
        <v>0</v>
      </c>
      <c r="PN512">
        <v>0</v>
      </c>
      <c r="PO512">
        <v>0</v>
      </c>
      <c r="PP512">
        <v>0</v>
      </c>
      <c r="PQ512">
        <v>0</v>
      </c>
      <c r="PR512">
        <v>0</v>
      </c>
      <c r="PS512">
        <v>0</v>
      </c>
      <c r="PT512">
        <v>0</v>
      </c>
      <c r="PU512">
        <v>0</v>
      </c>
      <c r="PV512">
        <v>0</v>
      </c>
      <c r="PW512">
        <v>0</v>
      </c>
      <c r="PX512">
        <v>0</v>
      </c>
      <c r="PY512">
        <v>0</v>
      </c>
      <c r="PZ512">
        <v>0</v>
      </c>
      <c r="QA512">
        <v>0</v>
      </c>
      <c r="QB512">
        <v>0</v>
      </c>
      <c r="QC512">
        <v>0</v>
      </c>
      <c r="QD512">
        <v>0</v>
      </c>
      <c r="QE512">
        <v>0</v>
      </c>
      <c r="QF512">
        <v>0</v>
      </c>
      <c r="QG512">
        <v>10</v>
      </c>
      <c r="QH512">
        <v>0</v>
      </c>
      <c r="QI512">
        <v>0</v>
      </c>
      <c r="QJ512">
        <v>0</v>
      </c>
      <c r="QK512">
        <v>0</v>
      </c>
      <c r="QL512">
        <v>0</v>
      </c>
      <c r="QM512">
        <v>0</v>
      </c>
      <c r="QN512">
        <v>0</v>
      </c>
      <c r="QO512">
        <v>0</v>
      </c>
      <c r="QP512">
        <v>0</v>
      </c>
      <c r="QQ512">
        <v>0</v>
      </c>
      <c r="QR512">
        <v>0</v>
      </c>
      <c r="QS512">
        <v>0</v>
      </c>
      <c r="QT512">
        <v>0</v>
      </c>
      <c r="QU512">
        <v>0</v>
      </c>
      <c r="QV512">
        <v>0</v>
      </c>
      <c r="QW512">
        <v>0</v>
      </c>
      <c r="QX512">
        <v>0</v>
      </c>
      <c r="QY512">
        <v>0</v>
      </c>
    </row>
    <row r="513" spans="2:467" hidden="1" x14ac:dyDescent="0.4">
      <c r="B513" t="str">
        <f>"9784087212051"</f>
        <v>9784087212051</v>
      </c>
      <c r="C513" t="s">
        <v>1486</v>
      </c>
      <c r="D513" t="s">
        <v>1487</v>
      </c>
      <c r="E513" t="s">
        <v>1488</v>
      </c>
      <c r="G513" t="s">
        <v>536</v>
      </c>
      <c r="H513" t="str">
        <f>"0237"</f>
        <v>0237</v>
      </c>
      <c r="I513" t="s">
        <v>481</v>
      </c>
      <c r="J513" t="s">
        <v>482</v>
      </c>
      <c r="K513" t="s">
        <v>569</v>
      </c>
      <c r="L513" s="1">
        <v>44608</v>
      </c>
      <c r="M513">
        <v>840</v>
      </c>
      <c r="N513" t="str">
        <f>"372"</f>
        <v>372</v>
      </c>
      <c r="P513">
        <v>12</v>
      </c>
      <c r="Q513">
        <v>2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10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2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  <c r="NK513">
        <v>0</v>
      </c>
      <c r="NL513">
        <v>0</v>
      </c>
      <c r="NM513">
        <v>0</v>
      </c>
      <c r="NN513">
        <v>0</v>
      </c>
      <c r="NO513">
        <v>0</v>
      </c>
      <c r="NP513">
        <v>0</v>
      </c>
      <c r="NQ513">
        <v>0</v>
      </c>
      <c r="NR513">
        <v>0</v>
      </c>
      <c r="NS513">
        <v>0</v>
      </c>
      <c r="NT513">
        <v>0</v>
      </c>
      <c r="NU513">
        <v>0</v>
      </c>
      <c r="NV513">
        <v>0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C513">
        <v>0</v>
      </c>
      <c r="OD513">
        <v>0</v>
      </c>
      <c r="OE513">
        <v>0</v>
      </c>
      <c r="OF513">
        <v>0</v>
      </c>
      <c r="OG513">
        <v>0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0</v>
      </c>
      <c r="OU513">
        <v>0</v>
      </c>
      <c r="OV513">
        <v>0</v>
      </c>
      <c r="OW513">
        <v>0</v>
      </c>
      <c r="OX513">
        <v>0</v>
      </c>
      <c r="OY513">
        <v>0</v>
      </c>
      <c r="OZ513">
        <v>0</v>
      </c>
      <c r="PA513">
        <v>0</v>
      </c>
      <c r="PB513">
        <v>0</v>
      </c>
      <c r="PC513">
        <v>0</v>
      </c>
      <c r="PD513">
        <v>0</v>
      </c>
      <c r="PE513">
        <v>0</v>
      </c>
      <c r="PF513">
        <v>0</v>
      </c>
      <c r="PG513">
        <v>0</v>
      </c>
      <c r="PH513">
        <v>0</v>
      </c>
      <c r="PI513">
        <v>0</v>
      </c>
      <c r="PJ513">
        <v>0</v>
      </c>
      <c r="PK513">
        <v>0</v>
      </c>
      <c r="PL513">
        <v>0</v>
      </c>
      <c r="PM513">
        <v>0</v>
      </c>
      <c r="PN513">
        <v>0</v>
      </c>
      <c r="PO513">
        <v>0</v>
      </c>
      <c r="PP513">
        <v>0</v>
      </c>
      <c r="PQ513">
        <v>0</v>
      </c>
      <c r="PR513">
        <v>0</v>
      </c>
      <c r="PS513">
        <v>0</v>
      </c>
      <c r="PT513">
        <v>0</v>
      </c>
      <c r="PU513">
        <v>0</v>
      </c>
      <c r="PV513">
        <v>0</v>
      </c>
      <c r="PW513">
        <v>0</v>
      </c>
      <c r="PX513">
        <v>0</v>
      </c>
      <c r="PY513">
        <v>0</v>
      </c>
      <c r="PZ513">
        <v>0</v>
      </c>
      <c r="QA513">
        <v>0</v>
      </c>
      <c r="QB513">
        <v>0</v>
      </c>
      <c r="QC513">
        <v>0</v>
      </c>
      <c r="QD513">
        <v>0</v>
      </c>
      <c r="QE513">
        <v>0</v>
      </c>
      <c r="QF513">
        <v>0</v>
      </c>
      <c r="QG513">
        <v>0</v>
      </c>
      <c r="QH513">
        <v>0</v>
      </c>
      <c r="QI513">
        <v>0</v>
      </c>
      <c r="QJ513">
        <v>0</v>
      </c>
      <c r="QK513">
        <v>0</v>
      </c>
      <c r="QL513">
        <v>0</v>
      </c>
      <c r="QM513">
        <v>0</v>
      </c>
      <c r="QN513">
        <v>0</v>
      </c>
      <c r="QO513">
        <v>0</v>
      </c>
      <c r="QP513">
        <v>0</v>
      </c>
      <c r="QQ513">
        <v>0</v>
      </c>
      <c r="QR513">
        <v>0</v>
      </c>
      <c r="QS513">
        <v>0</v>
      </c>
      <c r="QT513">
        <v>0</v>
      </c>
      <c r="QU513">
        <v>0</v>
      </c>
      <c r="QV513">
        <v>0</v>
      </c>
      <c r="QW513">
        <v>0</v>
      </c>
      <c r="QX513">
        <v>0</v>
      </c>
      <c r="QY513">
        <v>0</v>
      </c>
    </row>
    <row r="514" spans="2:467" x14ac:dyDescent="0.4">
      <c r="B514" t="str">
        <f>"9784043574063"</f>
        <v>9784043574063</v>
      </c>
      <c r="C514" t="s">
        <v>489</v>
      </c>
      <c r="D514" t="s">
        <v>486</v>
      </c>
      <c r="E514" t="s">
        <v>490</v>
      </c>
      <c r="G514" t="s">
        <v>491</v>
      </c>
      <c r="H514" t="str">
        <f>"0192"</f>
        <v>0192</v>
      </c>
      <c r="I514" t="s">
        <v>481</v>
      </c>
      <c r="J514" t="s">
        <v>487</v>
      </c>
      <c r="K514" t="s">
        <v>492</v>
      </c>
      <c r="L514" s="1">
        <v>37196</v>
      </c>
      <c r="M514">
        <v>680</v>
      </c>
      <c r="N514" t="str">
        <f>"911.12"</f>
        <v>911.12</v>
      </c>
      <c r="P514">
        <v>140</v>
      </c>
      <c r="Q514">
        <v>1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140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0</v>
      </c>
      <c r="MR514">
        <v>0</v>
      </c>
      <c r="MS514">
        <v>0</v>
      </c>
      <c r="MT514">
        <v>0</v>
      </c>
      <c r="MU514">
        <v>0</v>
      </c>
      <c r="MV514">
        <v>0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  <c r="NK514">
        <v>0</v>
      </c>
      <c r="NL514">
        <v>0</v>
      </c>
      <c r="NM514">
        <v>0</v>
      </c>
      <c r="NN514">
        <v>0</v>
      </c>
      <c r="NO514">
        <v>0</v>
      </c>
      <c r="NP514">
        <v>0</v>
      </c>
      <c r="NQ514">
        <v>0</v>
      </c>
      <c r="NR514">
        <v>0</v>
      </c>
      <c r="NS514">
        <v>0</v>
      </c>
      <c r="NT514">
        <v>0</v>
      </c>
      <c r="NU514">
        <v>0</v>
      </c>
      <c r="NV514">
        <v>0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C514">
        <v>0</v>
      </c>
      <c r="OD514">
        <v>0</v>
      </c>
      <c r="OE514">
        <v>0</v>
      </c>
      <c r="OF514">
        <v>0</v>
      </c>
      <c r="OG514">
        <v>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0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0</v>
      </c>
      <c r="PB514">
        <v>0</v>
      </c>
      <c r="PC514">
        <v>0</v>
      </c>
      <c r="PD514">
        <v>0</v>
      </c>
      <c r="PE514">
        <v>0</v>
      </c>
      <c r="PF514">
        <v>0</v>
      </c>
      <c r="PG514">
        <v>0</v>
      </c>
      <c r="PH514">
        <v>0</v>
      </c>
      <c r="PI514">
        <v>0</v>
      </c>
      <c r="PJ514">
        <v>0</v>
      </c>
      <c r="PK514">
        <v>0</v>
      </c>
      <c r="PL514">
        <v>0</v>
      </c>
      <c r="PM514">
        <v>0</v>
      </c>
      <c r="PN514">
        <v>0</v>
      </c>
      <c r="PO514">
        <v>0</v>
      </c>
      <c r="PP514">
        <v>0</v>
      </c>
      <c r="PQ514">
        <v>0</v>
      </c>
      <c r="PR514">
        <v>0</v>
      </c>
      <c r="PS514">
        <v>0</v>
      </c>
      <c r="PT514">
        <v>0</v>
      </c>
      <c r="PU514">
        <v>0</v>
      </c>
      <c r="PV514">
        <v>0</v>
      </c>
      <c r="PW514">
        <v>0</v>
      </c>
      <c r="PX514">
        <v>0</v>
      </c>
      <c r="PY514">
        <v>0</v>
      </c>
      <c r="PZ514">
        <v>0</v>
      </c>
      <c r="QA514">
        <v>0</v>
      </c>
      <c r="QB514">
        <v>0</v>
      </c>
      <c r="QC514">
        <v>0</v>
      </c>
      <c r="QD514">
        <v>0</v>
      </c>
      <c r="QE514">
        <v>0</v>
      </c>
      <c r="QF514">
        <v>0</v>
      </c>
      <c r="QG514">
        <v>0</v>
      </c>
      <c r="QH514">
        <v>0</v>
      </c>
      <c r="QI514">
        <v>0</v>
      </c>
      <c r="QJ514">
        <v>0</v>
      </c>
      <c r="QK514">
        <v>0</v>
      </c>
      <c r="QL514">
        <v>0</v>
      </c>
      <c r="QM514">
        <v>0</v>
      </c>
      <c r="QN514">
        <v>0</v>
      </c>
      <c r="QO514">
        <v>0</v>
      </c>
      <c r="QP514">
        <v>0</v>
      </c>
      <c r="QQ514">
        <v>0</v>
      </c>
      <c r="QR514">
        <v>0</v>
      </c>
      <c r="QS514">
        <v>0</v>
      </c>
      <c r="QT514">
        <v>0</v>
      </c>
      <c r="QU514">
        <v>0</v>
      </c>
      <c r="QV514">
        <v>0</v>
      </c>
      <c r="QW514">
        <v>0</v>
      </c>
      <c r="QX514">
        <v>0</v>
      </c>
      <c r="QY514">
        <v>0</v>
      </c>
    </row>
    <row r="515" spans="2:467" x14ac:dyDescent="0.4">
      <c r="B515" t="str">
        <f>"9784043574049"</f>
        <v>9784043574049</v>
      </c>
      <c r="C515" t="s">
        <v>493</v>
      </c>
      <c r="D515" t="s">
        <v>486</v>
      </c>
      <c r="E515" t="s">
        <v>494</v>
      </c>
      <c r="G515" t="s">
        <v>486</v>
      </c>
      <c r="H515" t="str">
        <f>"0193"</f>
        <v>0193</v>
      </c>
      <c r="I515" t="s">
        <v>481</v>
      </c>
      <c r="J515" t="s">
        <v>487</v>
      </c>
      <c r="K515" t="s">
        <v>488</v>
      </c>
      <c r="L515" s="1">
        <v>37135</v>
      </c>
      <c r="M515">
        <v>720</v>
      </c>
      <c r="N515" t="str">
        <f>"913.434"</f>
        <v>913.434</v>
      </c>
      <c r="P515">
        <v>140</v>
      </c>
      <c r="Q515">
        <v>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140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0</v>
      </c>
      <c r="NL515">
        <v>0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0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C515">
        <v>0</v>
      </c>
      <c r="OD515">
        <v>0</v>
      </c>
      <c r="OE515">
        <v>0</v>
      </c>
      <c r="OF515">
        <v>0</v>
      </c>
      <c r="OG515">
        <v>0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0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0</v>
      </c>
      <c r="PA515">
        <v>0</v>
      </c>
      <c r="PB515">
        <v>0</v>
      </c>
      <c r="PC515">
        <v>0</v>
      </c>
      <c r="PD515">
        <v>0</v>
      </c>
      <c r="PE515">
        <v>0</v>
      </c>
      <c r="PF515">
        <v>0</v>
      </c>
      <c r="PG515">
        <v>0</v>
      </c>
      <c r="PH515">
        <v>0</v>
      </c>
      <c r="PI515">
        <v>0</v>
      </c>
      <c r="PJ515">
        <v>0</v>
      </c>
      <c r="PK515">
        <v>0</v>
      </c>
      <c r="PL515">
        <v>0</v>
      </c>
      <c r="PM515">
        <v>0</v>
      </c>
      <c r="PN515">
        <v>0</v>
      </c>
      <c r="PO515">
        <v>0</v>
      </c>
      <c r="PP515">
        <v>0</v>
      </c>
      <c r="PQ515">
        <v>0</v>
      </c>
      <c r="PR515">
        <v>0</v>
      </c>
      <c r="PS515">
        <v>0</v>
      </c>
      <c r="PT515">
        <v>0</v>
      </c>
      <c r="PU515">
        <v>0</v>
      </c>
      <c r="PV515">
        <v>0</v>
      </c>
      <c r="PW515">
        <v>0</v>
      </c>
      <c r="PX515">
        <v>0</v>
      </c>
      <c r="PY515">
        <v>0</v>
      </c>
      <c r="PZ515">
        <v>0</v>
      </c>
      <c r="QA515">
        <v>0</v>
      </c>
      <c r="QB515">
        <v>0</v>
      </c>
      <c r="QC515">
        <v>0</v>
      </c>
      <c r="QD515">
        <v>0</v>
      </c>
      <c r="QE515">
        <v>0</v>
      </c>
      <c r="QF515">
        <v>0</v>
      </c>
      <c r="QG515">
        <v>0</v>
      </c>
      <c r="QH515">
        <v>0</v>
      </c>
      <c r="QI515">
        <v>0</v>
      </c>
      <c r="QJ515">
        <v>0</v>
      </c>
      <c r="QK515">
        <v>0</v>
      </c>
      <c r="QL515">
        <v>0</v>
      </c>
      <c r="QM515">
        <v>0</v>
      </c>
      <c r="QN515">
        <v>0</v>
      </c>
      <c r="QO515">
        <v>0</v>
      </c>
      <c r="QP515">
        <v>0</v>
      </c>
      <c r="QQ515">
        <v>0</v>
      </c>
      <c r="QR515">
        <v>0</v>
      </c>
      <c r="QS515">
        <v>0</v>
      </c>
      <c r="QT515">
        <v>0</v>
      </c>
      <c r="QU515">
        <v>0</v>
      </c>
      <c r="QV515">
        <v>0</v>
      </c>
      <c r="QW515">
        <v>0</v>
      </c>
      <c r="QX515">
        <v>0</v>
      </c>
      <c r="QY515">
        <v>0</v>
      </c>
    </row>
    <row r="516" spans="2:467" hidden="1" x14ac:dyDescent="0.4">
      <c r="B516" t="str">
        <f>"9784582859577"</f>
        <v>9784582859577</v>
      </c>
      <c r="C516" t="s">
        <v>667</v>
      </c>
      <c r="D516" t="s">
        <v>668</v>
      </c>
      <c r="E516">
        <v>957</v>
      </c>
      <c r="G516" t="s">
        <v>669</v>
      </c>
      <c r="H516" t="str">
        <f>"0247"</f>
        <v>0247</v>
      </c>
      <c r="I516" t="s">
        <v>481</v>
      </c>
      <c r="J516" t="s">
        <v>482</v>
      </c>
      <c r="K516" t="s">
        <v>670</v>
      </c>
      <c r="L516" s="1">
        <v>44121</v>
      </c>
      <c r="M516">
        <v>920</v>
      </c>
      <c r="N516" t="str">
        <f>"498.021"</f>
        <v>498.021</v>
      </c>
      <c r="P516">
        <v>50</v>
      </c>
      <c r="Q516">
        <v>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50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0</v>
      </c>
      <c r="MS516">
        <v>0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0</v>
      </c>
      <c r="NK516">
        <v>0</v>
      </c>
      <c r="NL516">
        <v>0</v>
      </c>
      <c r="NM516">
        <v>0</v>
      </c>
      <c r="NN516">
        <v>0</v>
      </c>
      <c r="NO516">
        <v>0</v>
      </c>
      <c r="NP516">
        <v>0</v>
      </c>
      <c r="NQ516">
        <v>0</v>
      </c>
      <c r="NR516">
        <v>0</v>
      </c>
      <c r="NS516">
        <v>0</v>
      </c>
      <c r="NT516">
        <v>0</v>
      </c>
      <c r="NU516">
        <v>0</v>
      </c>
      <c r="NV516">
        <v>0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C516">
        <v>0</v>
      </c>
      <c r="OD516">
        <v>0</v>
      </c>
      <c r="OE516">
        <v>0</v>
      </c>
      <c r="OF516">
        <v>0</v>
      </c>
      <c r="OG516">
        <v>0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  <c r="PB516">
        <v>0</v>
      </c>
      <c r="PC516">
        <v>0</v>
      </c>
      <c r="PD516">
        <v>0</v>
      </c>
      <c r="PE516">
        <v>0</v>
      </c>
      <c r="PF516">
        <v>0</v>
      </c>
      <c r="PG516">
        <v>0</v>
      </c>
      <c r="PH516">
        <v>0</v>
      </c>
      <c r="PI516">
        <v>0</v>
      </c>
      <c r="PJ516">
        <v>0</v>
      </c>
      <c r="PK516">
        <v>0</v>
      </c>
      <c r="PL516">
        <v>0</v>
      </c>
      <c r="PM516">
        <v>0</v>
      </c>
      <c r="PN516">
        <v>0</v>
      </c>
      <c r="PO516">
        <v>0</v>
      </c>
      <c r="PP516">
        <v>0</v>
      </c>
      <c r="PQ516">
        <v>0</v>
      </c>
      <c r="PR516">
        <v>0</v>
      </c>
      <c r="PS516">
        <v>0</v>
      </c>
      <c r="PT516">
        <v>0</v>
      </c>
      <c r="PU516">
        <v>0</v>
      </c>
      <c r="PV516">
        <v>0</v>
      </c>
      <c r="PW516">
        <v>0</v>
      </c>
      <c r="PX516">
        <v>0</v>
      </c>
      <c r="PY516">
        <v>0</v>
      </c>
      <c r="PZ516">
        <v>0</v>
      </c>
      <c r="QA516">
        <v>0</v>
      </c>
      <c r="QB516">
        <v>0</v>
      </c>
      <c r="QC516">
        <v>0</v>
      </c>
      <c r="QD516">
        <v>0</v>
      </c>
      <c r="QE516">
        <v>0</v>
      </c>
      <c r="QF516">
        <v>0</v>
      </c>
      <c r="QG516">
        <v>0</v>
      </c>
      <c r="QH516">
        <v>0</v>
      </c>
      <c r="QI516">
        <v>0</v>
      </c>
      <c r="QJ516">
        <v>0</v>
      </c>
      <c r="QK516">
        <v>0</v>
      </c>
      <c r="QL516">
        <v>0</v>
      </c>
      <c r="QM516">
        <v>0</v>
      </c>
      <c r="QN516">
        <v>0</v>
      </c>
      <c r="QO516">
        <v>0</v>
      </c>
      <c r="QP516">
        <v>0</v>
      </c>
      <c r="QQ516">
        <v>0</v>
      </c>
      <c r="QR516">
        <v>0</v>
      </c>
      <c r="QS516">
        <v>0</v>
      </c>
      <c r="QT516">
        <v>0</v>
      </c>
      <c r="QU516">
        <v>0</v>
      </c>
      <c r="QV516">
        <v>0</v>
      </c>
      <c r="QW516">
        <v>0</v>
      </c>
      <c r="QX516">
        <v>0</v>
      </c>
      <c r="QY516">
        <v>0</v>
      </c>
    </row>
    <row r="517" spans="2:467" hidden="1" x14ac:dyDescent="0.4">
      <c r="B517" t="str">
        <f>"9784877384432"</f>
        <v>9784877384432</v>
      </c>
      <c r="C517" t="s">
        <v>758</v>
      </c>
      <c r="D517" t="s">
        <v>759</v>
      </c>
      <c r="G517" t="s">
        <v>760</v>
      </c>
      <c r="H517" t="str">
        <f>"3233"</f>
        <v>3233</v>
      </c>
      <c r="I517" t="s">
        <v>761</v>
      </c>
      <c r="J517" t="s">
        <v>482</v>
      </c>
      <c r="K517" t="s">
        <v>537</v>
      </c>
      <c r="L517" s="1">
        <v>41699</v>
      </c>
      <c r="M517">
        <v>900</v>
      </c>
      <c r="N517" t="str">
        <f>"678.12"</f>
        <v>678.12</v>
      </c>
      <c r="P517">
        <v>36</v>
      </c>
      <c r="Q517">
        <v>1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36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0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0</v>
      </c>
      <c r="OE517">
        <v>0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  <c r="PB517">
        <v>0</v>
      </c>
      <c r="PC517">
        <v>0</v>
      </c>
      <c r="PD517">
        <v>0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0</v>
      </c>
      <c r="PU517">
        <v>0</v>
      </c>
      <c r="PV517">
        <v>0</v>
      </c>
      <c r="PW517">
        <v>0</v>
      </c>
      <c r="PX517">
        <v>0</v>
      </c>
      <c r="PY517">
        <v>0</v>
      </c>
      <c r="PZ517">
        <v>0</v>
      </c>
      <c r="QA517">
        <v>0</v>
      </c>
      <c r="QB517">
        <v>0</v>
      </c>
      <c r="QC517">
        <v>0</v>
      </c>
      <c r="QD517">
        <v>0</v>
      </c>
      <c r="QE517">
        <v>0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</v>
      </c>
      <c r="QO517">
        <v>0</v>
      </c>
      <c r="QP517">
        <v>0</v>
      </c>
      <c r="QQ517">
        <v>0</v>
      </c>
      <c r="QR517">
        <v>0</v>
      </c>
      <c r="QS517">
        <v>0</v>
      </c>
      <c r="QT517">
        <v>0</v>
      </c>
      <c r="QU517">
        <v>0</v>
      </c>
      <c r="QV517">
        <v>0</v>
      </c>
      <c r="QW517">
        <v>0</v>
      </c>
      <c r="QX517">
        <v>0</v>
      </c>
      <c r="QY517">
        <v>0</v>
      </c>
    </row>
    <row r="518" spans="2:467" hidden="1" x14ac:dyDescent="0.4">
      <c r="B518" t="str">
        <f>"9784005008421"</f>
        <v>9784005008421</v>
      </c>
      <c r="C518" t="s">
        <v>780</v>
      </c>
      <c r="D518" t="s">
        <v>781</v>
      </c>
      <c r="E518">
        <v>842</v>
      </c>
      <c r="G518" t="s">
        <v>521</v>
      </c>
      <c r="H518" t="str">
        <f>"0236"</f>
        <v>0236</v>
      </c>
      <c r="I518" t="s">
        <v>481</v>
      </c>
      <c r="J518" t="s">
        <v>482</v>
      </c>
      <c r="K518" t="s">
        <v>505</v>
      </c>
      <c r="L518" s="1">
        <v>42664</v>
      </c>
      <c r="M518">
        <v>820</v>
      </c>
      <c r="N518" t="str">
        <f>"K319"</f>
        <v>K319</v>
      </c>
      <c r="P518">
        <v>34</v>
      </c>
      <c r="Q518">
        <v>1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34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</v>
      </c>
      <c r="MV518">
        <v>0</v>
      </c>
      <c r="MW518">
        <v>0</v>
      </c>
      <c r="MX518">
        <v>0</v>
      </c>
      <c r="MY518">
        <v>0</v>
      </c>
      <c r="MZ518">
        <v>0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  <c r="NK518">
        <v>0</v>
      </c>
      <c r="NL518">
        <v>0</v>
      </c>
      <c r="NM518">
        <v>0</v>
      </c>
      <c r="NN518">
        <v>0</v>
      </c>
      <c r="NO518">
        <v>0</v>
      </c>
      <c r="NP518">
        <v>0</v>
      </c>
      <c r="NQ518">
        <v>0</v>
      </c>
      <c r="NR518">
        <v>0</v>
      </c>
      <c r="NS518">
        <v>0</v>
      </c>
      <c r="NT518">
        <v>0</v>
      </c>
      <c r="NU518">
        <v>0</v>
      </c>
      <c r="NV518">
        <v>0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C518">
        <v>0</v>
      </c>
      <c r="OD518">
        <v>0</v>
      </c>
      <c r="OE518">
        <v>0</v>
      </c>
      <c r="OF518">
        <v>0</v>
      </c>
      <c r="OG518">
        <v>0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0</v>
      </c>
      <c r="PB518">
        <v>0</v>
      </c>
      <c r="PC518">
        <v>0</v>
      </c>
      <c r="PD518">
        <v>0</v>
      </c>
      <c r="PE518">
        <v>0</v>
      </c>
      <c r="PF518">
        <v>0</v>
      </c>
      <c r="PG518">
        <v>0</v>
      </c>
      <c r="PH518">
        <v>0</v>
      </c>
      <c r="PI518">
        <v>0</v>
      </c>
      <c r="PJ518">
        <v>0</v>
      </c>
      <c r="PK518">
        <v>0</v>
      </c>
      <c r="PL518">
        <v>0</v>
      </c>
      <c r="PM518">
        <v>0</v>
      </c>
      <c r="PN518">
        <v>0</v>
      </c>
      <c r="PO518">
        <v>0</v>
      </c>
      <c r="PP518">
        <v>0</v>
      </c>
      <c r="PQ518">
        <v>0</v>
      </c>
      <c r="PR518">
        <v>0</v>
      </c>
      <c r="PS518">
        <v>0</v>
      </c>
      <c r="PT518">
        <v>0</v>
      </c>
      <c r="PU518">
        <v>0</v>
      </c>
      <c r="PV518">
        <v>0</v>
      </c>
      <c r="PW518">
        <v>0</v>
      </c>
      <c r="PX518">
        <v>0</v>
      </c>
      <c r="PY518">
        <v>0</v>
      </c>
      <c r="PZ518">
        <v>0</v>
      </c>
      <c r="QA518">
        <v>0</v>
      </c>
      <c r="QB518">
        <v>0</v>
      </c>
      <c r="QC518">
        <v>0</v>
      </c>
      <c r="QD518">
        <v>0</v>
      </c>
      <c r="QE518">
        <v>0</v>
      </c>
      <c r="QF518">
        <v>0</v>
      </c>
      <c r="QG518">
        <v>0</v>
      </c>
      <c r="QH518">
        <v>0</v>
      </c>
      <c r="QI518">
        <v>0</v>
      </c>
      <c r="QJ518">
        <v>0</v>
      </c>
      <c r="QK518">
        <v>0</v>
      </c>
      <c r="QL518">
        <v>0</v>
      </c>
      <c r="QM518">
        <v>0</v>
      </c>
      <c r="QN518">
        <v>0</v>
      </c>
      <c r="QO518">
        <v>0</v>
      </c>
      <c r="QP518">
        <v>0</v>
      </c>
      <c r="QQ518">
        <v>0</v>
      </c>
      <c r="QR518">
        <v>0</v>
      </c>
      <c r="QS518">
        <v>0</v>
      </c>
      <c r="QT518">
        <v>0</v>
      </c>
      <c r="QU518">
        <v>0</v>
      </c>
      <c r="QV518">
        <v>0</v>
      </c>
      <c r="QW518">
        <v>0</v>
      </c>
      <c r="QX518">
        <v>0</v>
      </c>
      <c r="QY518">
        <v>0</v>
      </c>
    </row>
    <row r="519" spans="2:467" x14ac:dyDescent="0.4">
      <c r="B519" t="str">
        <f>"9784022619228"</f>
        <v>9784022619228</v>
      </c>
      <c r="C519" t="s">
        <v>904</v>
      </c>
      <c r="D519" t="s">
        <v>905</v>
      </c>
      <c r="E519" t="s">
        <v>906</v>
      </c>
      <c r="G519" t="s">
        <v>498</v>
      </c>
      <c r="H519" t="str">
        <f>"0181"</f>
        <v>0181</v>
      </c>
      <c r="I519" t="s">
        <v>481</v>
      </c>
      <c r="J519" t="s">
        <v>487</v>
      </c>
      <c r="K519" t="s">
        <v>655</v>
      </c>
      <c r="L519" s="1">
        <v>43195</v>
      </c>
      <c r="M519">
        <v>680</v>
      </c>
      <c r="N519" t="str">
        <f>"816"</f>
        <v>816</v>
      </c>
      <c r="P519">
        <v>24</v>
      </c>
      <c r="Q519">
        <v>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24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0</v>
      </c>
      <c r="MP519">
        <v>0</v>
      </c>
      <c r="MQ519">
        <v>0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0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  <c r="NK519">
        <v>0</v>
      </c>
      <c r="NL519">
        <v>0</v>
      </c>
      <c r="NM519">
        <v>0</v>
      </c>
      <c r="NN519">
        <v>0</v>
      </c>
      <c r="NO519">
        <v>0</v>
      </c>
      <c r="NP519">
        <v>0</v>
      </c>
      <c r="NQ519">
        <v>0</v>
      </c>
      <c r="NR519">
        <v>0</v>
      </c>
      <c r="NS519">
        <v>0</v>
      </c>
      <c r="NT519">
        <v>0</v>
      </c>
      <c r="NU519">
        <v>0</v>
      </c>
      <c r="NV519">
        <v>0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C519">
        <v>0</v>
      </c>
      <c r="OD519">
        <v>0</v>
      </c>
      <c r="OE519">
        <v>0</v>
      </c>
      <c r="OF519">
        <v>0</v>
      </c>
      <c r="OG519">
        <v>0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0</v>
      </c>
      <c r="PB519">
        <v>0</v>
      </c>
      <c r="PC519">
        <v>0</v>
      </c>
      <c r="PD519">
        <v>0</v>
      </c>
      <c r="PE519">
        <v>0</v>
      </c>
      <c r="PF519">
        <v>0</v>
      </c>
      <c r="PG519">
        <v>0</v>
      </c>
      <c r="PH519">
        <v>0</v>
      </c>
      <c r="PI519">
        <v>0</v>
      </c>
      <c r="PJ519">
        <v>0</v>
      </c>
      <c r="PK519">
        <v>0</v>
      </c>
      <c r="PL519">
        <v>0</v>
      </c>
      <c r="PM519">
        <v>0</v>
      </c>
      <c r="PN519">
        <v>0</v>
      </c>
      <c r="PO519">
        <v>0</v>
      </c>
      <c r="PP519">
        <v>0</v>
      </c>
      <c r="PQ519">
        <v>0</v>
      </c>
      <c r="PR519">
        <v>0</v>
      </c>
      <c r="PS519">
        <v>0</v>
      </c>
      <c r="PT519">
        <v>0</v>
      </c>
      <c r="PU519">
        <v>0</v>
      </c>
      <c r="PV519">
        <v>0</v>
      </c>
      <c r="PW519">
        <v>0</v>
      </c>
      <c r="PX519">
        <v>0</v>
      </c>
      <c r="PY519">
        <v>0</v>
      </c>
      <c r="PZ519">
        <v>0</v>
      </c>
      <c r="QA519">
        <v>0</v>
      </c>
      <c r="QB519">
        <v>0</v>
      </c>
      <c r="QC519">
        <v>0</v>
      </c>
      <c r="QD519">
        <v>0</v>
      </c>
      <c r="QE519">
        <v>0</v>
      </c>
      <c r="QF519">
        <v>0</v>
      </c>
      <c r="QG519">
        <v>0</v>
      </c>
      <c r="QH519">
        <v>0</v>
      </c>
      <c r="QI519">
        <v>0</v>
      </c>
      <c r="QJ519">
        <v>0</v>
      </c>
      <c r="QK519">
        <v>0</v>
      </c>
      <c r="QL519">
        <v>0</v>
      </c>
      <c r="QM519">
        <v>0</v>
      </c>
      <c r="QN519">
        <v>0</v>
      </c>
      <c r="QO519">
        <v>0</v>
      </c>
      <c r="QP519">
        <v>0</v>
      </c>
      <c r="QQ519">
        <v>0</v>
      </c>
      <c r="QR519">
        <v>0</v>
      </c>
      <c r="QS519">
        <v>0</v>
      </c>
      <c r="QT519">
        <v>0</v>
      </c>
      <c r="QU519">
        <v>0</v>
      </c>
      <c r="QV519">
        <v>0</v>
      </c>
      <c r="QW519">
        <v>0</v>
      </c>
      <c r="QX519">
        <v>0</v>
      </c>
      <c r="QY519">
        <v>0</v>
      </c>
    </row>
    <row r="520" spans="2:467" x14ac:dyDescent="0.4">
      <c r="B520" t="str">
        <f>"9784062811231"</f>
        <v>9784062811231</v>
      </c>
      <c r="C520" t="s">
        <v>926</v>
      </c>
      <c r="D520" t="s">
        <v>927</v>
      </c>
      <c r="E520" t="s">
        <v>928</v>
      </c>
      <c r="G520" t="s">
        <v>548</v>
      </c>
      <c r="H520" t="str">
        <f>"0195"</f>
        <v>0195</v>
      </c>
      <c r="I520" t="s">
        <v>481</v>
      </c>
      <c r="J520" t="s">
        <v>487</v>
      </c>
      <c r="K520" t="s">
        <v>509</v>
      </c>
      <c r="L520" s="1">
        <v>39683</v>
      </c>
      <c r="M520">
        <v>620</v>
      </c>
      <c r="N520" t="str">
        <f>"816"</f>
        <v>816</v>
      </c>
      <c r="P520">
        <v>23</v>
      </c>
      <c r="Q520">
        <v>1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0</v>
      </c>
      <c r="MR520">
        <v>0</v>
      </c>
      <c r="MS520">
        <v>0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0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0</v>
      </c>
      <c r="NG520">
        <v>0</v>
      </c>
      <c r="NH520">
        <v>0</v>
      </c>
      <c r="NI520">
        <v>0</v>
      </c>
      <c r="NJ520">
        <v>0</v>
      </c>
      <c r="NK520">
        <v>0</v>
      </c>
      <c r="NL520">
        <v>0</v>
      </c>
      <c r="NM520">
        <v>0</v>
      </c>
      <c r="NN520">
        <v>0</v>
      </c>
      <c r="NO520">
        <v>0</v>
      </c>
      <c r="NP520">
        <v>0</v>
      </c>
      <c r="NQ520">
        <v>0</v>
      </c>
      <c r="NR520">
        <v>0</v>
      </c>
      <c r="NS520">
        <v>0</v>
      </c>
      <c r="NT520">
        <v>0</v>
      </c>
      <c r="NU520">
        <v>0</v>
      </c>
      <c r="NV520">
        <v>0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C520">
        <v>0</v>
      </c>
      <c r="OD520">
        <v>0</v>
      </c>
      <c r="OE520">
        <v>0</v>
      </c>
      <c r="OF520">
        <v>0</v>
      </c>
      <c r="OG520">
        <v>0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23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0</v>
      </c>
      <c r="OZ520">
        <v>0</v>
      </c>
      <c r="PA520">
        <v>0</v>
      </c>
      <c r="PB520">
        <v>0</v>
      </c>
      <c r="PC520">
        <v>0</v>
      </c>
      <c r="PD520">
        <v>0</v>
      </c>
      <c r="PE520">
        <v>0</v>
      </c>
      <c r="PF520">
        <v>0</v>
      </c>
      <c r="PG520">
        <v>0</v>
      </c>
      <c r="PH520">
        <v>0</v>
      </c>
      <c r="PI520">
        <v>0</v>
      </c>
      <c r="PJ520">
        <v>0</v>
      </c>
      <c r="PK520">
        <v>0</v>
      </c>
      <c r="PL520">
        <v>0</v>
      </c>
      <c r="PM520">
        <v>0</v>
      </c>
      <c r="PN520">
        <v>0</v>
      </c>
      <c r="PO520">
        <v>0</v>
      </c>
      <c r="PP520">
        <v>0</v>
      </c>
      <c r="PQ520">
        <v>0</v>
      </c>
      <c r="PR520">
        <v>0</v>
      </c>
      <c r="PS520">
        <v>0</v>
      </c>
      <c r="PT520">
        <v>0</v>
      </c>
      <c r="PU520">
        <v>0</v>
      </c>
      <c r="PV520">
        <v>0</v>
      </c>
      <c r="PW520">
        <v>0</v>
      </c>
      <c r="PX520">
        <v>0</v>
      </c>
      <c r="PY520">
        <v>0</v>
      </c>
      <c r="PZ520">
        <v>0</v>
      </c>
      <c r="QA520">
        <v>0</v>
      </c>
      <c r="QB520">
        <v>0</v>
      </c>
      <c r="QC520">
        <v>0</v>
      </c>
      <c r="QD520">
        <v>0</v>
      </c>
      <c r="QE520">
        <v>0</v>
      </c>
      <c r="QF520">
        <v>0</v>
      </c>
      <c r="QG520">
        <v>0</v>
      </c>
      <c r="QH520">
        <v>0</v>
      </c>
      <c r="QI520">
        <v>0</v>
      </c>
      <c r="QJ520">
        <v>0</v>
      </c>
      <c r="QK520">
        <v>0</v>
      </c>
      <c r="QL520">
        <v>0</v>
      </c>
      <c r="QM520">
        <v>0</v>
      </c>
      <c r="QN520">
        <v>0</v>
      </c>
      <c r="QO520">
        <v>0</v>
      </c>
      <c r="QP520">
        <v>0</v>
      </c>
      <c r="QQ520">
        <v>0</v>
      </c>
      <c r="QR520">
        <v>0</v>
      </c>
      <c r="QS520">
        <v>0</v>
      </c>
      <c r="QT520">
        <v>0</v>
      </c>
      <c r="QU520">
        <v>0</v>
      </c>
      <c r="QV520">
        <v>0</v>
      </c>
      <c r="QW520">
        <v>0</v>
      </c>
      <c r="QX520">
        <v>0</v>
      </c>
      <c r="QY520">
        <v>0</v>
      </c>
    </row>
    <row r="521" spans="2:467" hidden="1" x14ac:dyDescent="0.4">
      <c r="B521" t="str">
        <f>"9784062884617"</f>
        <v>9784062884617</v>
      </c>
      <c r="C521" t="s">
        <v>929</v>
      </c>
      <c r="D521" t="s">
        <v>930</v>
      </c>
      <c r="E521">
        <v>2461</v>
      </c>
      <c r="G521" t="s">
        <v>548</v>
      </c>
      <c r="H521" t="str">
        <f>"0236"</f>
        <v>0236</v>
      </c>
      <c r="I521" t="s">
        <v>481</v>
      </c>
      <c r="J521" t="s">
        <v>482</v>
      </c>
      <c r="K521" t="s">
        <v>505</v>
      </c>
      <c r="L521" s="1">
        <v>43117</v>
      </c>
      <c r="M521">
        <v>1000</v>
      </c>
      <c r="N521" t="str">
        <f>"361.8"</f>
        <v>361.8</v>
      </c>
      <c r="P521">
        <v>23</v>
      </c>
      <c r="Q521">
        <v>1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23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0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</v>
      </c>
      <c r="MM521">
        <v>0</v>
      </c>
      <c r="MN521">
        <v>0</v>
      </c>
      <c r="MO521">
        <v>0</v>
      </c>
      <c r="MP521">
        <v>0</v>
      </c>
      <c r="MQ521">
        <v>0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  <c r="NK521">
        <v>0</v>
      </c>
      <c r="NL521">
        <v>0</v>
      </c>
      <c r="NM521">
        <v>0</v>
      </c>
      <c r="NN521">
        <v>0</v>
      </c>
      <c r="NO521">
        <v>0</v>
      </c>
      <c r="NP521">
        <v>0</v>
      </c>
      <c r="NQ521">
        <v>0</v>
      </c>
      <c r="NR521">
        <v>0</v>
      </c>
      <c r="NS521">
        <v>0</v>
      </c>
      <c r="NT521">
        <v>0</v>
      </c>
      <c r="NU521">
        <v>0</v>
      </c>
      <c r="NV521">
        <v>0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C521">
        <v>0</v>
      </c>
      <c r="OD521">
        <v>0</v>
      </c>
      <c r="OE521">
        <v>0</v>
      </c>
      <c r="OF521">
        <v>0</v>
      </c>
      <c r="OG521">
        <v>0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0</v>
      </c>
      <c r="PA521">
        <v>0</v>
      </c>
      <c r="PB521">
        <v>0</v>
      </c>
      <c r="PC521">
        <v>0</v>
      </c>
      <c r="PD521">
        <v>0</v>
      </c>
      <c r="PE521">
        <v>0</v>
      </c>
      <c r="PF521">
        <v>0</v>
      </c>
      <c r="PG521">
        <v>0</v>
      </c>
      <c r="PH521">
        <v>0</v>
      </c>
      <c r="PI521">
        <v>0</v>
      </c>
      <c r="PJ521">
        <v>0</v>
      </c>
      <c r="PK521">
        <v>0</v>
      </c>
      <c r="PL521">
        <v>0</v>
      </c>
      <c r="PM521">
        <v>0</v>
      </c>
      <c r="PN521">
        <v>0</v>
      </c>
      <c r="PO521">
        <v>0</v>
      </c>
      <c r="PP521">
        <v>0</v>
      </c>
      <c r="PQ521">
        <v>0</v>
      </c>
      <c r="PR521">
        <v>0</v>
      </c>
      <c r="PS521">
        <v>0</v>
      </c>
      <c r="PT521">
        <v>0</v>
      </c>
      <c r="PU521">
        <v>0</v>
      </c>
      <c r="PV521">
        <v>0</v>
      </c>
      <c r="PW521">
        <v>0</v>
      </c>
      <c r="PX521">
        <v>0</v>
      </c>
      <c r="PY521">
        <v>0</v>
      </c>
      <c r="PZ521">
        <v>0</v>
      </c>
      <c r="QA521">
        <v>0</v>
      </c>
      <c r="QB521">
        <v>0</v>
      </c>
      <c r="QC521">
        <v>0</v>
      </c>
      <c r="QD521">
        <v>0</v>
      </c>
      <c r="QE521">
        <v>0</v>
      </c>
      <c r="QF521">
        <v>0</v>
      </c>
      <c r="QG521">
        <v>0</v>
      </c>
      <c r="QH521">
        <v>0</v>
      </c>
      <c r="QI521">
        <v>0</v>
      </c>
      <c r="QJ521">
        <v>0</v>
      </c>
      <c r="QK521">
        <v>0</v>
      </c>
      <c r="QL521">
        <v>0</v>
      </c>
      <c r="QM521">
        <v>0</v>
      </c>
      <c r="QN521">
        <v>0</v>
      </c>
      <c r="QO521">
        <v>0</v>
      </c>
      <c r="QP521">
        <v>0</v>
      </c>
      <c r="QQ521">
        <v>0</v>
      </c>
      <c r="QR521">
        <v>0</v>
      </c>
      <c r="QS521">
        <v>0</v>
      </c>
      <c r="QT521">
        <v>0</v>
      </c>
      <c r="QU521">
        <v>0</v>
      </c>
      <c r="QV521">
        <v>0</v>
      </c>
      <c r="QW521">
        <v>0</v>
      </c>
      <c r="QX521">
        <v>0</v>
      </c>
      <c r="QY521">
        <v>0</v>
      </c>
    </row>
    <row r="522" spans="2:467" hidden="1" x14ac:dyDescent="0.4">
      <c r="B522" t="str">
        <f>"9784022950789"</f>
        <v>9784022950789</v>
      </c>
      <c r="C522" t="s">
        <v>942</v>
      </c>
      <c r="D522" t="s">
        <v>930</v>
      </c>
      <c r="E522">
        <v>774</v>
      </c>
      <c r="G522" t="s">
        <v>498</v>
      </c>
      <c r="H522" t="str">
        <f>"0236"</f>
        <v>0236</v>
      </c>
      <c r="I522" t="s">
        <v>481</v>
      </c>
      <c r="J522" t="s">
        <v>482</v>
      </c>
      <c r="K522" t="s">
        <v>505</v>
      </c>
      <c r="L522" s="1">
        <v>44025</v>
      </c>
      <c r="M522">
        <v>850</v>
      </c>
      <c r="N522" t="str">
        <f>"361.8"</f>
        <v>361.8</v>
      </c>
      <c r="P522">
        <v>22</v>
      </c>
      <c r="Q522">
        <v>1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22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0</v>
      </c>
      <c r="MQ522">
        <v>0</v>
      </c>
      <c r="MR522">
        <v>0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0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0</v>
      </c>
      <c r="NK522">
        <v>0</v>
      </c>
      <c r="NL522">
        <v>0</v>
      </c>
      <c r="NM522">
        <v>0</v>
      </c>
      <c r="NN522">
        <v>0</v>
      </c>
      <c r="NO522">
        <v>0</v>
      </c>
      <c r="NP522">
        <v>0</v>
      </c>
      <c r="NQ522">
        <v>0</v>
      </c>
      <c r="NR522">
        <v>0</v>
      </c>
      <c r="NS522">
        <v>0</v>
      </c>
      <c r="NT522">
        <v>0</v>
      </c>
      <c r="NU522">
        <v>0</v>
      </c>
      <c r="NV522">
        <v>0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C522">
        <v>0</v>
      </c>
      <c r="OD522">
        <v>0</v>
      </c>
      <c r="OE522">
        <v>0</v>
      </c>
      <c r="OF522">
        <v>0</v>
      </c>
      <c r="OG522">
        <v>0</v>
      </c>
      <c r="OH522">
        <v>0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0</v>
      </c>
      <c r="PB522">
        <v>0</v>
      </c>
      <c r="PC522">
        <v>0</v>
      </c>
      <c r="PD522">
        <v>0</v>
      </c>
      <c r="PE522">
        <v>0</v>
      </c>
      <c r="PF522">
        <v>0</v>
      </c>
      <c r="PG522">
        <v>0</v>
      </c>
      <c r="PH522">
        <v>0</v>
      </c>
      <c r="PI522">
        <v>0</v>
      </c>
      <c r="PJ522">
        <v>0</v>
      </c>
      <c r="PK522">
        <v>0</v>
      </c>
      <c r="PL522">
        <v>0</v>
      </c>
      <c r="PM522">
        <v>0</v>
      </c>
      <c r="PN522">
        <v>0</v>
      </c>
      <c r="PO522">
        <v>0</v>
      </c>
      <c r="PP522">
        <v>0</v>
      </c>
      <c r="PQ522">
        <v>0</v>
      </c>
      <c r="PR522">
        <v>0</v>
      </c>
      <c r="PS522">
        <v>0</v>
      </c>
      <c r="PT522">
        <v>0</v>
      </c>
      <c r="PU522">
        <v>0</v>
      </c>
      <c r="PV522">
        <v>0</v>
      </c>
      <c r="PW522">
        <v>0</v>
      </c>
      <c r="PX522">
        <v>0</v>
      </c>
      <c r="PY522">
        <v>0</v>
      </c>
      <c r="PZ522">
        <v>0</v>
      </c>
      <c r="QA522">
        <v>0</v>
      </c>
      <c r="QB522">
        <v>0</v>
      </c>
      <c r="QC522">
        <v>0</v>
      </c>
      <c r="QD522">
        <v>0</v>
      </c>
      <c r="QE522">
        <v>0</v>
      </c>
      <c r="QF522">
        <v>0</v>
      </c>
      <c r="QG522">
        <v>0</v>
      </c>
      <c r="QH522">
        <v>0</v>
      </c>
      <c r="QI522">
        <v>0</v>
      </c>
      <c r="QJ522">
        <v>0</v>
      </c>
      <c r="QK522">
        <v>0</v>
      </c>
      <c r="QL522">
        <v>0</v>
      </c>
      <c r="QM522">
        <v>0</v>
      </c>
      <c r="QN522">
        <v>0</v>
      </c>
      <c r="QO522">
        <v>0</v>
      </c>
      <c r="QP522">
        <v>0</v>
      </c>
      <c r="QQ522">
        <v>0</v>
      </c>
      <c r="QR522">
        <v>0</v>
      </c>
      <c r="QS522">
        <v>0</v>
      </c>
      <c r="QT522">
        <v>0</v>
      </c>
      <c r="QU522">
        <v>0</v>
      </c>
      <c r="QV522">
        <v>0</v>
      </c>
      <c r="QW522">
        <v>0</v>
      </c>
      <c r="QX522">
        <v>0</v>
      </c>
      <c r="QY522">
        <v>0</v>
      </c>
    </row>
    <row r="523" spans="2:467" hidden="1" x14ac:dyDescent="0.4">
      <c r="B523" t="str">
        <f>"9784098251742"</f>
        <v>9784098251742</v>
      </c>
      <c r="C523" t="s">
        <v>1067</v>
      </c>
      <c r="D523" t="s">
        <v>1068</v>
      </c>
      <c r="E523">
        <v>174</v>
      </c>
      <c r="G523" t="s">
        <v>1069</v>
      </c>
      <c r="H523" t="str">
        <f>"0295"</f>
        <v>0295</v>
      </c>
      <c r="I523" t="s">
        <v>481</v>
      </c>
      <c r="J523" t="s">
        <v>482</v>
      </c>
      <c r="K523" t="s">
        <v>509</v>
      </c>
      <c r="L523" s="1">
        <v>41488</v>
      </c>
      <c r="M523">
        <v>720</v>
      </c>
      <c r="N523" t="str">
        <f>"498"</f>
        <v>498</v>
      </c>
      <c r="P523">
        <v>19</v>
      </c>
      <c r="Q523">
        <v>1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19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0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0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  <c r="NK523">
        <v>0</v>
      </c>
      <c r="NL523">
        <v>0</v>
      </c>
      <c r="NM523">
        <v>0</v>
      </c>
      <c r="NN523">
        <v>0</v>
      </c>
      <c r="NO523">
        <v>0</v>
      </c>
      <c r="NP523">
        <v>0</v>
      </c>
      <c r="NQ523">
        <v>0</v>
      </c>
      <c r="NR523">
        <v>0</v>
      </c>
      <c r="NS523">
        <v>0</v>
      </c>
      <c r="NT523">
        <v>0</v>
      </c>
      <c r="NU523">
        <v>0</v>
      </c>
      <c r="NV523">
        <v>0</v>
      </c>
      <c r="NW523">
        <v>0</v>
      </c>
      <c r="NX523">
        <v>0</v>
      </c>
      <c r="NY523">
        <v>0</v>
      </c>
      <c r="NZ523">
        <v>0</v>
      </c>
      <c r="OA523">
        <v>0</v>
      </c>
      <c r="OB523">
        <v>0</v>
      </c>
      <c r="OC523">
        <v>0</v>
      </c>
      <c r="OD523">
        <v>0</v>
      </c>
      <c r="OE523">
        <v>0</v>
      </c>
      <c r="OF523">
        <v>0</v>
      </c>
      <c r="OG523">
        <v>0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  <c r="PB523">
        <v>0</v>
      </c>
      <c r="PC523">
        <v>0</v>
      </c>
      <c r="PD523">
        <v>0</v>
      </c>
      <c r="PE523">
        <v>0</v>
      </c>
      <c r="PF523">
        <v>0</v>
      </c>
      <c r="PG523">
        <v>0</v>
      </c>
      <c r="PH523">
        <v>0</v>
      </c>
      <c r="PI523">
        <v>0</v>
      </c>
      <c r="PJ523">
        <v>0</v>
      </c>
      <c r="PK523">
        <v>0</v>
      </c>
      <c r="PL523">
        <v>0</v>
      </c>
      <c r="PM523">
        <v>0</v>
      </c>
      <c r="PN523">
        <v>0</v>
      </c>
      <c r="PO523">
        <v>0</v>
      </c>
      <c r="PP523">
        <v>0</v>
      </c>
      <c r="PQ523">
        <v>0</v>
      </c>
      <c r="PR523">
        <v>0</v>
      </c>
      <c r="PS523">
        <v>0</v>
      </c>
      <c r="PT523">
        <v>0</v>
      </c>
      <c r="PU523">
        <v>0</v>
      </c>
      <c r="PV523">
        <v>0</v>
      </c>
      <c r="PW523">
        <v>0</v>
      </c>
      <c r="PX523">
        <v>0</v>
      </c>
      <c r="PY523">
        <v>0</v>
      </c>
      <c r="PZ523">
        <v>0</v>
      </c>
      <c r="QA523">
        <v>0</v>
      </c>
      <c r="QB523">
        <v>0</v>
      </c>
      <c r="QC523">
        <v>0</v>
      </c>
      <c r="QD523">
        <v>0</v>
      </c>
      <c r="QE523">
        <v>0</v>
      </c>
      <c r="QF523">
        <v>0</v>
      </c>
      <c r="QG523">
        <v>0</v>
      </c>
      <c r="QH523">
        <v>0</v>
      </c>
      <c r="QI523">
        <v>0</v>
      </c>
      <c r="QJ523">
        <v>0</v>
      </c>
      <c r="QK523">
        <v>0</v>
      </c>
      <c r="QL523">
        <v>0</v>
      </c>
      <c r="QM523">
        <v>0</v>
      </c>
      <c r="QN523">
        <v>0</v>
      </c>
      <c r="QO523">
        <v>0</v>
      </c>
      <c r="QP523">
        <v>0</v>
      </c>
      <c r="QQ523">
        <v>0</v>
      </c>
      <c r="QR523">
        <v>0</v>
      </c>
      <c r="QS523">
        <v>0</v>
      </c>
      <c r="QT523">
        <v>0</v>
      </c>
      <c r="QU523">
        <v>0</v>
      </c>
      <c r="QV523">
        <v>0</v>
      </c>
      <c r="QW523">
        <v>0</v>
      </c>
      <c r="QX523">
        <v>0</v>
      </c>
      <c r="QY523">
        <v>0</v>
      </c>
    </row>
    <row r="524" spans="2:467" x14ac:dyDescent="0.4">
      <c r="B524" t="str">
        <f>"9784480423085"</f>
        <v>9784480423085</v>
      </c>
      <c r="C524" t="s">
        <v>1176</v>
      </c>
      <c r="D524" t="s">
        <v>1177</v>
      </c>
      <c r="E524" t="s">
        <v>1178</v>
      </c>
      <c r="G524" t="s">
        <v>501</v>
      </c>
      <c r="H524" t="str">
        <f>"0136"</f>
        <v>0136</v>
      </c>
      <c r="I524" t="s">
        <v>481</v>
      </c>
      <c r="J524" t="s">
        <v>487</v>
      </c>
      <c r="K524" t="s">
        <v>505</v>
      </c>
      <c r="L524" s="1">
        <v>39142</v>
      </c>
      <c r="M524">
        <v>680</v>
      </c>
      <c r="N524" t="str">
        <f>"302.1"</f>
        <v>302.1</v>
      </c>
      <c r="P524">
        <v>16</v>
      </c>
      <c r="Q524">
        <v>1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16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0</v>
      </c>
      <c r="MR524">
        <v>0</v>
      </c>
      <c r="MS524">
        <v>0</v>
      </c>
      <c r="MT524">
        <v>0</v>
      </c>
      <c r="MU524">
        <v>0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0</v>
      </c>
      <c r="NK524">
        <v>0</v>
      </c>
      <c r="NL524">
        <v>0</v>
      </c>
      <c r="NM524">
        <v>0</v>
      </c>
      <c r="NN524">
        <v>0</v>
      </c>
      <c r="NO524">
        <v>0</v>
      </c>
      <c r="NP524">
        <v>0</v>
      </c>
      <c r="NQ524">
        <v>0</v>
      </c>
      <c r="NR524">
        <v>0</v>
      </c>
      <c r="NS524">
        <v>0</v>
      </c>
      <c r="NT524">
        <v>0</v>
      </c>
      <c r="NU524">
        <v>0</v>
      </c>
      <c r="NV524">
        <v>0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C524">
        <v>0</v>
      </c>
      <c r="OD524">
        <v>0</v>
      </c>
      <c r="OE524">
        <v>0</v>
      </c>
      <c r="OF524">
        <v>0</v>
      </c>
      <c r="OG524">
        <v>0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0</v>
      </c>
      <c r="OZ524">
        <v>0</v>
      </c>
      <c r="PA524">
        <v>0</v>
      </c>
      <c r="PB524">
        <v>0</v>
      </c>
      <c r="PC524">
        <v>0</v>
      </c>
      <c r="PD524">
        <v>0</v>
      </c>
      <c r="PE524">
        <v>0</v>
      </c>
      <c r="PF524">
        <v>0</v>
      </c>
      <c r="PG524">
        <v>0</v>
      </c>
      <c r="PH524">
        <v>0</v>
      </c>
      <c r="PI524">
        <v>0</v>
      </c>
      <c r="PJ524">
        <v>0</v>
      </c>
      <c r="PK524">
        <v>0</v>
      </c>
      <c r="PL524">
        <v>0</v>
      </c>
      <c r="PM524">
        <v>0</v>
      </c>
      <c r="PN524">
        <v>0</v>
      </c>
      <c r="PO524">
        <v>0</v>
      </c>
      <c r="PP524">
        <v>0</v>
      </c>
      <c r="PQ524">
        <v>0</v>
      </c>
      <c r="PR524">
        <v>0</v>
      </c>
      <c r="PS524">
        <v>0</v>
      </c>
      <c r="PT524">
        <v>0</v>
      </c>
      <c r="PU524">
        <v>0</v>
      </c>
      <c r="PV524">
        <v>0</v>
      </c>
      <c r="PW524">
        <v>0</v>
      </c>
      <c r="PX524">
        <v>0</v>
      </c>
      <c r="PY524">
        <v>0</v>
      </c>
      <c r="PZ524">
        <v>0</v>
      </c>
      <c r="QA524">
        <v>0</v>
      </c>
      <c r="QB524">
        <v>0</v>
      </c>
      <c r="QC524">
        <v>0</v>
      </c>
      <c r="QD524">
        <v>0</v>
      </c>
      <c r="QE524">
        <v>0</v>
      </c>
      <c r="QF524">
        <v>0</v>
      </c>
      <c r="QG524">
        <v>0</v>
      </c>
      <c r="QH524">
        <v>0</v>
      </c>
      <c r="QI524">
        <v>0</v>
      </c>
      <c r="QJ524">
        <v>0</v>
      </c>
      <c r="QK524">
        <v>0</v>
      </c>
      <c r="QL524">
        <v>0</v>
      </c>
      <c r="QM524">
        <v>0</v>
      </c>
      <c r="QN524">
        <v>0</v>
      </c>
      <c r="QO524">
        <v>0</v>
      </c>
      <c r="QP524">
        <v>0</v>
      </c>
      <c r="QQ524">
        <v>0</v>
      </c>
      <c r="QR524">
        <v>0</v>
      </c>
      <c r="QS524">
        <v>0</v>
      </c>
      <c r="QT524">
        <v>0</v>
      </c>
      <c r="QU524">
        <v>0</v>
      </c>
      <c r="QV524">
        <v>0</v>
      </c>
      <c r="QW524">
        <v>0</v>
      </c>
      <c r="QX524">
        <v>0</v>
      </c>
      <c r="QY524">
        <v>0</v>
      </c>
    </row>
    <row r="525" spans="2:467" hidden="1" x14ac:dyDescent="0.4">
      <c r="B525" t="str">
        <f>"9784121022004"</f>
        <v>9784121022004</v>
      </c>
      <c r="C525" t="s">
        <v>1193</v>
      </c>
      <c r="D525" t="s">
        <v>768</v>
      </c>
      <c r="E525">
        <v>2200</v>
      </c>
      <c r="G525" t="s">
        <v>540</v>
      </c>
      <c r="H525" t="str">
        <f>"1233"</f>
        <v>1233</v>
      </c>
      <c r="I525" t="s">
        <v>541</v>
      </c>
      <c r="J525" t="s">
        <v>482</v>
      </c>
      <c r="K525" t="s">
        <v>537</v>
      </c>
      <c r="L525" s="1">
        <v>41299</v>
      </c>
      <c r="M525">
        <v>760</v>
      </c>
      <c r="N525" t="str">
        <f>"367.3"</f>
        <v>367.3</v>
      </c>
      <c r="P525">
        <v>16</v>
      </c>
      <c r="Q525">
        <v>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16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0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  <c r="NK525">
        <v>0</v>
      </c>
      <c r="NL525">
        <v>0</v>
      </c>
      <c r="NM525">
        <v>0</v>
      </c>
      <c r="NN525">
        <v>0</v>
      </c>
      <c r="NO525">
        <v>0</v>
      </c>
      <c r="NP525">
        <v>0</v>
      </c>
      <c r="NQ525">
        <v>0</v>
      </c>
      <c r="NR525">
        <v>0</v>
      </c>
      <c r="NS525">
        <v>0</v>
      </c>
      <c r="NT525">
        <v>0</v>
      </c>
      <c r="NU525">
        <v>0</v>
      </c>
      <c r="NV525">
        <v>0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C525">
        <v>0</v>
      </c>
      <c r="OD525">
        <v>0</v>
      </c>
      <c r="OE525">
        <v>0</v>
      </c>
      <c r="OF525">
        <v>0</v>
      </c>
      <c r="OG525">
        <v>0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0</v>
      </c>
      <c r="PB525">
        <v>0</v>
      </c>
      <c r="PC525">
        <v>0</v>
      </c>
      <c r="PD525">
        <v>0</v>
      </c>
      <c r="PE525">
        <v>0</v>
      </c>
      <c r="PF525">
        <v>0</v>
      </c>
      <c r="PG525">
        <v>0</v>
      </c>
      <c r="PH525">
        <v>0</v>
      </c>
      <c r="PI525">
        <v>0</v>
      </c>
      <c r="PJ525">
        <v>0</v>
      </c>
      <c r="PK525">
        <v>0</v>
      </c>
      <c r="PL525">
        <v>0</v>
      </c>
      <c r="PM525">
        <v>0</v>
      </c>
      <c r="PN525">
        <v>0</v>
      </c>
      <c r="PO525">
        <v>0</v>
      </c>
      <c r="PP525">
        <v>0</v>
      </c>
      <c r="PQ525">
        <v>0</v>
      </c>
      <c r="PR525">
        <v>0</v>
      </c>
      <c r="PS525">
        <v>0</v>
      </c>
      <c r="PT525">
        <v>0</v>
      </c>
      <c r="PU525">
        <v>0</v>
      </c>
      <c r="PV525">
        <v>0</v>
      </c>
      <c r="PW525">
        <v>0</v>
      </c>
      <c r="PX525">
        <v>0</v>
      </c>
      <c r="PY525">
        <v>0</v>
      </c>
      <c r="PZ525">
        <v>0</v>
      </c>
      <c r="QA525">
        <v>0</v>
      </c>
      <c r="QB525">
        <v>0</v>
      </c>
      <c r="QC525">
        <v>0</v>
      </c>
      <c r="QD525">
        <v>0</v>
      </c>
      <c r="QE525">
        <v>0</v>
      </c>
      <c r="QF525">
        <v>0</v>
      </c>
      <c r="QG525">
        <v>0</v>
      </c>
      <c r="QH525">
        <v>0</v>
      </c>
      <c r="QI525">
        <v>0</v>
      </c>
      <c r="QJ525">
        <v>0</v>
      </c>
      <c r="QK525">
        <v>0</v>
      </c>
      <c r="QL525">
        <v>0</v>
      </c>
      <c r="QM525">
        <v>0</v>
      </c>
      <c r="QN525">
        <v>0</v>
      </c>
      <c r="QO525">
        <v>0</v>
      </c>
      <c r="QP525">
        <v>0</v>
      </c>
      <c r="QQ525">
        <v>0</v>
      </c>
      <c r="QR525">
        <v>0</v>
      </c>
      <c r="QS525">
        <v>0</v>
      </c>
      <c r="QT525">
        <v>0</v>
      </c>
      <c r="QU525">
        <v>0</v>
      </c>
      <c r="QV525">
        <v>0</v>
      </c>
      <c r="QW525">
        <v>0</v>
      </c>
      <c r="QX525">
        <v>0</v>
      </c>
      <c r="QY525">
        <v>0</v>
      </c>
    </row>
    <row r="526" spans="2:467" hidden="1" x14ac:dyDescent="0.4">
      <c r="B526" t="str">
        <f>"9784005008230"</f>
        <v>9784005008230</v>
      </c>
      <c r="C526" t="s">
        <v>1205</v>
      </c>
      <c r="D526" t="s">
        <v>1206</v>
      </c>
      <c r="E526">
        <v>823</v>
      </c>
      <c r="G526" t="s">
        <v>521</v>
      </c>
      <c r="H526" t="str">
        <f>"0231"</f>
        <v>0231</v>
      </c>
      <c r="I526" t="s">
        <v>481</v>
      </c>
      <c r="J526" t="s">
        <v>482</v>
      </c>
      <c r="K526" t="s">
        <v>502</v>
      </c>
      <c r="L526" s="1">
        <v>42420</v>
      </c>
      <c r="M526">
        <v>860</v>
      </c>
      <c r="N526" t="str">
        <f>"K318"</f>
        <v>K318</v>
      </c>
      <c r="P526">
        <v>16</v>
      </c>
      <c r="Q526">
        <v>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16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0</v>
      </c>
      <c r="MR526">
        <v>0</v>
      </c>
      <c r="MS526">
        <v>0</v>
      </c>
      <c r="MT526">
        <v>0</v>
      </c>
      <c r="MU526">
        <v>0</v>
      </c>
      <c r="MV526">
        <v>0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0</v>
      </c>
      <c r="NK526">
        <v>0</v>
      </c>
      <c r="NL526">
        <v>0</v>
      </c>
      <c r="NM526">
        <v>0</v>
      </c>
      <c r="NN526">
        <v>0</v>
      </c>
      <c r="NO526">
        <v>0</v>
      </c>
      <c r="NP526">
        <v>0</v>
      </c>
      <c r="NQ526">
        <v>0</v>
      </c>
      <c r="NR526">
        <v>0</v>
      </c>
      <c r="NS526">
        <v>0</v>
      </c>
      <c r="NT526">
        <v>0</v>
      </c>
      <c r="NU526">
        <v>0</v>
      </c>
      <c r="NV526">
        <v>0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C526">
        <v>0</v>
      </c>
      <c r="OD526">
        <v>0</v>
      </c>
      <c r="OE526">
        <v>0</v>
      </c>
      <c r="OF526">
        <v>0</v>
      </c>
      <c r="OG526">
        <v>0</v>
      </c>
      <c r="OH526">
        <v>0</v>
      </c>
      <c r="OI526">
        <v>0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0</v>
      </c>
      <c r="PB526">
        <v>0</v>
      </c>
      <c r="PC526">
        <v>0</v>
      </c>
      <c r="PD526">
        <v>0</v>
      </c>
      <c r="PE526">
        <v>0</v>
      </c>
      <c r="PF526">
        <v>0</v>
      </c>
      <c r="PG526">
        <v>0</v>
      </c>
      <c r="PH526">
        <v>0</v>
      </c>
      <c r="PI526">
        <v>0</v>
      </c>
      <c r="PJ526">
        <v>0</v>
      </c>
      <c r="PK526">
        <v>0</v>
      </c>
      <c r="PL526">
        <v>0</v>
      </c>
      <c r="PM526">
        <v>0</v>
      </c>
      <c r="PN526">
        <v>0</v>
      </c>
      <c r="PO526">
        <v>0</v>
      </c>
      <c r="PP526">
        <v>0</v>
      </c>
      <c r="PQ526">
        <v>0</v>
      </c>
      <c r="PR526">
        <v>0</v>
      </c>
      <c r="PS526">
        <v>0</v>
      </c>
      <c r="PT526">
        <v>0</v>
      </c>
      <c r="PU526">
        <v>0</v>
      </c>
      <c r="PV526">
        <v>0</v>
      </c>
      <c r="PW526">
        <v>0</v>
      </c>
      <c r="PX526">
        <v>0</v>
      </c>
      <c r="PY526">
        <v>0</v>
      </c>
      <c r="PZ526">
        <v>0</v>
      </c>
      <c r="QA526">
        <v>0</v>
      </c>
      <c r="QB526">
        <v>0</v>
      </c>
      <c r="QC526">
        <v>0</v>
      </c>
      <c r="QD526">
        <v>0</v>
      </c>
      <c r="QE526">
        <v>0</v>
      </c>
      <c r="QF526">
        <v>0</v>
      </c>
      <c r="QG526">
        <v>0</v>
      </c>
      <c r="QH526">
        <v>0</v>
      </c>
      <c r="QI526">
        <v>0</v>
      </c>
      <c r="QJ526">
        <v>0</v>
      </c>
      <c r="QK526">
        <v>0</v>
      </c>
      <c r="QL526">
        <v>0</v>
      </c>
      <c r="QM526">
        <v>0</v>
      </c>
      <c r="QN526">
        <v>0</v>
      </c>
      <c r="QO526">
        <v>0</v>
      </c>
      <c r="QP526">
        <v>0</v>
      </c>
      <c r="QQ526">
        <v>0</v>
      </c>
      <c r="QR526">
        <v>0</v>
      </c>
      <c r="QS526">
        <v>0</v>
      </c>
      <c r="QT526">
        <v>0</v>
      </c>
      <c r="QU526">
        <v>0</v>
      </c>
      <c r="QV526">
        <v>0</v>
      </c>
      <c r="QW526">
        <v>0</v>
      </c>
      <c r="QX526">
        <v>0</v>
      </c>
      <c r="QY526">
        <v>0</v>
      </c>
    </row>
    <row r="527" spans="2:467" x14ac:dyDescent="0.4">
      <c r="B527" t="str">
        <f>"9784532197117"</f>
        <v>9784532197117</v>
      </c>
      <c r="C527" t="s">
        <v>1299</v>
      </c>
      <c r="D527" t="s">
        <v>1300</v>
      </c>
      <c r="E527">
        <v>711</v>
      </c>
      <c r="F527" t="s">
        <v>1301</v>
      </c>
      <c r="G527" t="s">
        <v>987</v>
      </c>
      <c r="H527" t="str">
        <f>"0133"</f>
        <v>0133</v>
      </c>
      <c r="I527" t="s">
        <v>481</v>
      </c>
      <c r="J527" t="s">
        <v>487</v>
      </c>
      <c r="K527" t="s">
        <v>537</v>
      </c>
      <c r="L527" s="1">
        <v>41583</v>
      </c>
      <c r="M527">
        <v>600</v>
      </c>
      <c r="N527" t="str">
        <f>"330.4"</f>
        <v>330.4</v>
      </c>
      <c r="P527">
        <v>14</v>
      </c>
      <c r="Q527">
        <v>1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14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0</v>
      </c>
      <c r="MR527">
        <v>0</v>
      </c>
      <c r="MS527">
        <v>0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0</v>
      </c>
      <c r="NK527">
        <v>0</v>
      </c>
      <c r="NL527">
        <v>0</v>
      </c>
      <c r="NM527">
        <v>0</v>
      </c>
      <c r="NN527">
        <v>0</v>
      </c>
      <c r="NO527">
        <v>0</v>
      </c>
      <c r="NP527">
        <v>0</v>
      </c>
      <c r="NQ527">
        <v>0</v>
      </c>
      <c r="NR527">
        <v>0</v>
      </c>
      <c r="NS527">
        <v>0</v>
      </c>
      <c r="NT527">
        <v>0</v>
      </c>
      <c r="NU527">
        <v>0</v>
      </c>
      <c r="NV527">
        <v>0</v>
      </c>
      <c r="NW527">
        <v>0</v>
      </c>
      <c r="NX527">
        <v>0</v>
      </c>
      <c r="NY527">
        <v>0</v>
      </c>
      <c r="NZ527">
        <v>0</v>
      </c>
      <c r="OA527">
        <v>0</v>
      </c>
      <c r="OB527">
        <v>0</v>
      </c>
      <c r="OC527">
        <v>0</v>
      </c>
      <c r="OD527">
        <v>0</v>
      </c>
      <c r="OE527">
        <v>0</v>
      </c>
      <c r="OF527">
        <v>0</v>
      </c>
      <c r="OG527">
        <v>0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0</v>
      </c>
      <c r="PA527">
        <v>0</v>
      </c>
      <c r="PB527">
        <v>0</v>
      </c>
      <c r="PC527">
        <v>0</v>
      </c>
      <c r="PD527">
        <v>0</v>
      </c>
      <c r="PE527">
        <v>0</v>
      </c>
      <c r="PF527">
        <v>0</v>
      </c>
      <c r="PG527">
        <v>0</v>
      </c>
      <c r="PH527">
        <v>0</v>
      </c>
      <c r="PI527">
        <v>0</v>
      </c>
      <c r="PJ527">
        <v>0</v>
      </c>
      <c r="PK527">
        <v>0</v>
      </c>
      <c r="PL527">
        <v>0</v>
      </c>
      <c r="PM527">
        <v>0</v>
      </c>
      <c r="PN527">
        <v>0</v>
      </c>
      <c r="PO527">
        <v>0</v>
      </c>
      <c r="PP527">
        <v>0</v>
      </c>
      <c r="PQ527">
        <v>0</v>
      </c>
      <c r="PR527">
        <v>0</v>
      </c>
      <c r="PS527">
        <v>0</v>
      </c>
      <c r="PT527">
        <v>0</v>
      </c>
      <c r="PU527">
        <v>0</v>
      </c>
      <c r="PV527">
        <v>0</v>
      </c>
      <c r="PW527">
        <v>0</v>
      </c>
      <c r="PX527">
        <v>0</v>
      </c>
      <c r="PY527">
        <v>0</v>
      </c>
      <c r="PZ527">
        <v>0</v>
      </c>
      <c r="QA527">
        <v>0</v>
      </c>
      <c r="QB527">
        <v>0</v>
      </c>
      <c r="QC527">
        <v>0</v>
      </c>
      <c r="QD527">
        <v>0</v>
      </c>
      <c r="QE527">
        <v>0</v>
      </c>
      <c r="QF527">
        <v>0</v>
      </c>
      <c r="QG527">
        <v>0</v>
      </c>
      <c r="QH527">
        <v>0</v>
      </c>
      <c r="QI527">
        <v>0</v>
      </c>
      <c r="QJ527">
        <v>0</v>
      </c>
      <c r="QK527">
        <v>0</v>
      </c>
      <c r="QL527">
        <v>0</v>
      </c>
      <c r="QM527">
        <v>0</v>
      </c>
      <c r="QN527">
        <v>0</v>
      </c>
      <c r="QO527">
        <v>0</v>
      </c>
      <c r="QP527">
        <v>0</v>
      </c>
      <c r="QQ527">
        <v>0</v>
      </c>
      <c r="QR527">
        <v>0</v>
      </c>
      <c r="QS527">
        <v>0</v>
      </c>
      <c r="QT527">
        <v>0</v>
      </c>
      <c r="QU527">
        <v>0</v>
      </c>
      <c r="QV527">
        <v>0</v>
      </c>
      <c r="QW527">
        <v>0</v>
      </c>
      <c r="QX527">
        <v>0</v>
      </c>
      <c r="QY527">
        <v>0</v>
      </c>
    </row>
    <row r="528" spans="2:467" hidden="1" x14ac:dyDescent="0.4">
      <c r="B528" t="str">
        <f>"9784087207118"</f>
        <v>9784087207118</v>
      </c>
      <c r="C528" t="s">
        <v>1314</v>
      </c>
      <c r="D528" t="s">
        <v>1315</v>
      </c>
      <c r="E528" t="s">
        <v>1316</v>
      </c>
      <c r="G528" t="s">
        <v>536</v>
      </c>
      <c r="H528" t="str">
        <f>"0239"</f>
        <v>0239</v>
      </c>
      <c r="I528" t="s">
        <v>481</v>
      </c>
      <c r="J528" t="s">
        <v>482</v>
      </c>
      <c r="K528" t="s">
        <v>724</v>
      </c>
      <c r="L528" s="1">
        <v>41564</v>
      </c>
      <c r="M528">
        <v>860</v>
      </c>
      <c r="N528" t="str">
        <f>"377.96"</f>
        <v>377.96</v>
      </c>
      <c r="P528">
        <v>14</v>
      </c>
      <c r="Q528">
        <v>1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14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0</v>
      </c>
      <c r="MS528">
        <v>0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0</v>
      </c>
      <c r="NK528">
        <v>0</v>
      </c>
      <c r="NL528">
        <v>0</v>
      </c>
      <c r="NM528">
        <v>0</v>
      </c>
      <c r="NN528">
        <v>0</v>
      </c>
      <c r="NO528">
        <v>0</v>
      </c>
      <c r="NP528">
        <v>0</v>
      </c>
      <c r="NQ528">
        <v>0</v>
      </c>
      <c r="NR528">
        <v>0</v>
      </c>
      <c r="NS528">
        <v>0</v>
      </c>
      <c r="NT528">
        <v>0</v>
      </c>
      <c r="NU528">
        <v>0</v>
      </c>
      <c r="NV528">
        <v>0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C528">
        <v>0</v>
      </c>
      <c r="OD528">
        <v>0</v>
      </c>
      <c r="OE528">
        <v>0</v>
      </c>
      <c r="OF528">
        <v>0</v>
      </c>
      <c r="OG528">
        <v>0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0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0</v>
      </c>
      <c r="PB528">
        <v>0</v>
      </c>
      <c r="PC528">
        <v>0</v>
      </c>
      <c r="PD528">
        <v>0</v>
      </c>
      <c r="PE528">
        <v>0</v>
      </c>
      <c r="PF528">
        <v>0</v>
      </c>
      <c r="PG528">
        <v>0</v>
      </c>
      <c r="PH528">
        <v>0</v>
      </c>
      <c r="PI528">
        <v>0</v>
      </c>
      <c r="PJ528">
        <v>0</v>
      </c>
      <c r="PK528">
        <v>0</v>
      </c>
      <c r="PL528">
        <v>0</v>
      </c>
      <c r="PM528">
        <v>0</v>
      </c>
      <c r="PN528">
        <v>0</v>
      </c>
      <c r="PO528">
        <v>0</v>
      </c>
      <c r="PP528">
        <v>0</v>
      </c>
      <c r="PQ528">
        <v>0</v>
      </c>
      <c r="PR528">
        <v>0</v>
      </c>
      <c r="PS528">
        <v>0</v>
      </c>
      <c r="PT528">
        <v>0</v>
      </c>
      <c r="PU528">
        <v>0</v>
      </c>
      <c r="PV528">
        <v>0</v>
      </c>
      <c r="PW528">
        <v>0</v>
      </c>
      <c r="PX528">
        <v>0</v>
      </c>
      <c r="PY528">
        <v>0</v>
      </c>
      <c r="PZ528">
        <v>0</v>
      </c>
      <c r="QA528">
        <v>0</v>
      </c>
      <c r="QB528">
        <v>0</v>
      </c>
      <c r="QC528">
        <v>0</v>
      </c>
      <c r="QD528">
        <v>0</v>
      </c>
      <c r="QE528">
        <v>0</v>
      </c>
      <c r="QF528">
        <v>0</v>
      </c>
      <c r="QG528">
        <v>0</v>
      </c>
      <c r="QH528">
        <v>0</v>
      </c>
      <c r="QI528">
        <v>0</v>
      </c>
      <c r="QJ528">
        <v>0</v>
      </c>
      <c r="QK528">
        <v>0</v>
      </c>
      <c r="QL528">
        <v>0</v>
      </c>
      <c r="QM528">
        <v>0</v>
      </c>
      <c r="QN528">
        <v>0</v>
      </c>
      <c r="QO528">
        <v>0</v>
      </c>
      <c r="QP528">
        <v>0</v>
      </c>
      <c r="QQ528">
        <v>0</v>
      </c>
      <c r="QR528">
        <v>0</v>
      </c>
      <c r="QS528">
        <v>0</v>
      </c>
      <c r="QT528">
        <v>0</v>
      </c>
      <c r="QU528">
        <v>0</v>
      </c>
      <c r="QV528">
        <v>0</v>
      </c>
      <c r="QW528">
        <v>0</v>
      </c>
      <c r="QX528">
        <v>0</v>
      </c>
      <c r="QY528">
        <v>0</v>
      </c>
    </row>
    <row r="529" spans="2:467" hidden="1" x14ac:dyDescent="0.4">
      <c r="B529" t="str">
        <f>"9784121505729"</f>
        <v>9784121505729</v>
      </c>
      <c r="C529" t="s">
        <v>1445</v>
      </c>
      <c r="D529" t="s">
        <v>1446</v>
      </c>
      <c r="E529">
        <v>572</v>
      </c>
      <c r="G529" t="s">
        <v>540</v>
      </c>
      <c r="H529" t="str">
        <f>"1236"</f>
        <v>1236</v>
      </c>
      <c r="I529" t="s">
        <v>541</v>
      </c>
      <c r="J529" t="s">
        <v>482</v>
      </c>
      <c r="K529" t="s">
        <v>505</v>
      </c>
      <c r="L529" s="1">
        <v>42753</v>
      </c>
      <c r="M529">
        <v>780</v>
      </c>
      <c r="N529" t="str">
        <f>"501.6"</f>
        <v>501.6</v>
      </c>
      <c r="P529">
        <v>12</v>
      </c>
      <c r="Q529">
        <v>1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12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0</v>
      </c>
      <c r="MP529">
        <v>0</v>
      </c>
      <c r="MQ529">
        <v>0</v>
      </c>
      <c r="MR529">
        <v>0</v>
      </c>
      <c r="MS529">
        <v>0</v>
      </c>
      <c r="MT529">
        <v>0</v>
      </c>
      <c r="MU529">
        <v>0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0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0</v>
      </c>
      <c r="NK529">
        <v>0</v>
      </c>
      <c r="NL529">
        <v>0</v>
      </c>
      <c r="NM529">
        <v>0</v>
      </c>
      <c r="NN529">
        <v>0</v>
      </c>
      <c r="NO529">
        <v>0</v>
      </c>
      <c r="NP529">
        <v>0</v>
      </c>
      <c r="NQ529">
        <v>0</v>
      </c>
      <c r="NR529">
        <v>0</v>
      </c>
      <c r="NS529">
        <v>0</v>
      </c>
      <c r="NT529">
        <v>0</v>
      </c>
      <c r="NU529">
        <v>0</v>
      </c>
      <c r="NV529">
        <v>0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C529">
        <v>0</v>
      </c>
      <c r="OD529">
        <v>0</v>
      </c>
      <c r="OE529">
        <v>0</v>
      </c>
      <c r="OF529">
        <v>0</v>
      </c>
      <c r="OG529">
        <v>0</v>
      </c>
      <c r="OH529">
        <v>0</v>
      </c>
      <c r="OI529">
        <v>0</v>
      </c>
      <c r="OJ529">
        <v>0</v>
      </c>
      <c r="OK529">
        <v>0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0</v>
      </c>
      <c r="PB529">
        <v>0</v>
      </c>
      <c r="PC529">
        <v>0</v>
      </c>
      <c r="PD529">
        <v>0</v>
      </c>
      <c r="PE529">
        <v>0</v>
      </c>
      <c r="PF529">
        <v>0</v>
      </c>
      <c r="PG529">
        <v>0</v>
      </c>
      <c r="PH529">
        <v>0</v>
      </c>
      <c r="PI529">
        <v>0</v>
      </c>
      <c r="PJ529">
        <v>0</v>
      </c>
      <c r="PK529">
        <v>0</v>
      </c>
      <c r="PL529">
        <v>0</v>
      </c>
      <c r="PM529">
        <v>0</v>
      </c>
      <c r="PN529">
        <v>0</v>
      </c>
      <c r="PO529">
        <v>0</v>
      </c>
      <c r="PP529">
        <v>0</v>
      </c>
      <c r="PQ529">
        <v>0</v>
      </c>
      <c r="PR529">
        <v>0</v>
      </c>
      <c r="PS529">
        <v>0</v>
      </c>
      <c r="PT529">
        <v>0</v>
      </c>
      <c r="PU529">
        <v>0</v>
      </c>
      <c r="PV529">
        <v>0</v>
      </c>
      <c r="PW529">
        <v>0</v>
      </c>
      <c r="PX529">
        <v>0</v>
      </c>
      <c r="PY529">
        <v>0</v>
      </c>
      <c r="PZ529">
        <v>0</v>
      </c>
      <c r="QA529">
        <v>0</v>
      </c>
      <c r="QB529">
        <v>0</v>
      </c>
      <c r="QC529">
        <v>0</v>
      </c>
      <c r="QD529">
        <v>0</v>
      </c>
      <c r="QE529">
        <v>0</v>
      </c>
      <c r="QF529">
        <v>0</v>
      </c>
      <c r="QG529">
        <v>0</v>
      </c>
      <c r="QH529">
        <v>0</v>
      </c>
      <c r="QI529">
        <v>0</v>
      </c>
      <c r="QJ529">
        <v>0</v>
      </c>
      <c r="QK529">
        <v>0</v>
      </c>
      <c r="QL529">
        <v>0</v>
      </c>
      <c r="QM529">
        <v>0</v>
      </c>
      <c r="QN529">
        <v>0</v>
      </c>
      <c r="QO529">
        <v>0</v>
      </c>
      <c r="QP529">
        <v>0</v>
      </c>
      <c r="QQ529">
        <v>0</v>
      </c>
      <c r="QR529">
        <v>0</v>
      </c>
      <c r="QS529">
        <v>0</v>
      </c>
      <c r="QT529">
        <v>0</v>
      </c>
      <c r="QU529">
        <v>0</v>
      </c>
      <c r="QV529">
        <v>0</v>
      </c>
      <c r="QW529">
        <v>0</v>
      </c>
      <c r="QX529">
        <v>0</v>
      </c>
      <c r="QY529">
        <v>0</v>
      </c>
    </row>
    <row r="530" spans="2:467" hidden="1" x14ac:dyDescent="0.4">
      <c r="B530" t="str">
        <f>"9784591164389"</f>
        <v>9784591164389</v>
      </c>
      <c r="C530" t="s">
        <v>1685</v>
      </c>
      <c r="D530" t="s">
        <v>1686</v>
      </c>
      <c r="E530">
        <v>177</v>
      </c>
      <c r="G530" t="s">
        <v>572</v>
      </c>
      <c r="H530" t="str">
        <f>"0237"</f>
        <v>0237</v>
      </c>
      <c r="I530" t="s">
        <v>481</v>
      </c>
      <c r="J530" t="s">
        <v>482</v>
      </c>
      <c r="K530" t="s">
        <v>569</v>
      </c>
      <c r="L530" s="1">
        <v>43748</v>
      </c>
      <c r="M530">
        <v>860</v>
      </c>
      <c r="N530" t="str">
        <f>"143"</f>
        <v>143</v>
      </c>
      <c r="P530">
        <v>10</v>
      </c>
      <c r="Q530">
        <v>1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10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0</v>
      </c>
      <c r="NF530">
        <v>0</v>
      </c>
      <c r="NG530">
        <v>0</v>
      </c>
      <c r="NH530">
        <v>0</v>
      </c>
      <c r="NI530">
        <v>0</v>
      </c>
      <c r="NJ530">
        <v>0</v>
      </c>
      <c r="NK530">
        <v>0</v>
      </c>
      <c r="NL530">
        <v>0</v>
      </c>
      <c r="NM530">
        <v>0</v>
      </c>
      <c r="NN530">
        <v>0</v>
      </c>
      <c r="NO530">
        <v>0</v>
      </c>
      <c r="NP530">
        <v>0</v>
      </c>
      <c r="NQ530">
        <v>0</v>
      </c>
      <c r="NR530">
        <v>0</v>
      </c>
      <c r="NS530">
        <v>0</v>
      </c>
      <c r="NT530">
        <v>0</v>
      </c>
      <c r="NU530">
        <v>0</v>
      </c>
      <c r="NV530">
        <v>0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C530">
        <v>0</v>
      </c>
      <c r="OD530">
        <v>0</v>
      </c>
      <c r="OE530">
        <v>0</v>
      </c>
      <c r="OF530">
        <v>0</v>
      </c>
      <c r="OG530">
        <v>0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0</v>
      </c>
      <c r="OZ530">
        <v>0</v>
      </c>
      <c r="PA530">
        <v>0</v>
      </c>
      <c r="PB530">
        <v>0</v>
      </c>
      <c r="PC530">
        <v>0</v>
      </c>
      <c r="PD530">
        <v>0</v>
      </c>
      <c r="PE530">
        <v>0</v>
      </c>
      <c r="PF530">
        <v>0</v>
      </c>
      <c r="PG530">
        <v>0</v>
      </c>
      <c r="PH530">
        <v>0</v>
      </c>
      <c r="PI530">
        <v>0</v>
      </c>
      <c r="PJ530">
        <v>0</v>
      </c>
      <c r="PK530">
        <v>0</v>
      </c>
      <c r="PL530">
        <v>0</v>
      </c>
      <c r="PM530">
        <v>0</v>
      </c>
      <c r="PN530">
        <v>0</v>
      </c>
      <c r="PO530">
        <v>0</v>
      </c>
      <c r="PP530">
        <v>0</v>
      </c>
      <c r="PQ530">
        <v>0</v>
      </c>
      <c r="PR530">
        <v>0</v>
      </c>
      <c r="PS530">
        <v>0</v>
      </c>
      <c r="PT530">
        <v>0</v>
      </c>
      <c r="PU530">
        <v>0</v>
      </c>
      <c r="PV530">
        <v>0</v>
      </c>
      <c r="PW530">
        <v>0</v>
      </c>
      <c r="PX530">
        <v>0</v>
      </c>
      <c r="PY530">
        <v>0</v>
      </c>
      <c r="PZ530">
        <v>0</v>
      </c>
      <c r="QA530">
        <v>0</v>
      </c>
      <c r="QB530">
        <v>0</v>
      </c>
      <c r="QC530">
        <v>0</v>
      </c>
      <c r="QD530">
        <v>0</v>
      </c>
      <c r="QE530">
        <v>0</v>
      </c>
      <c r="QF530">
        <v>0</v>
      </c>
      <c r="QG530">
        <v>0</v>
      </c>
      <c r="QH530">
        <v>0</v>
      </c>
      <c r="QI530">
        <v>0</v>
      </c>
      <c r="QJ530">
        <v>0</v>
      </c>
      <c r="QK530">
        <v>0</v>
      </c>
      <c r="QL530">
        <v>0</v>
      </c>
      <c r="QM530">
        <v>0</v>
      </c>
      <c r="QN530">
        <v>0</v>
      </c>
      <c r="QO530">
        <v>0</v>
      </c>
      <c r="QP530">
        <v>0</v>
      </c>
      <c r="QQ530">
        <v>0</v>
      </c>
      <c r="QR530">
        <v>0</v>
      </c>
      <c r="QS530">
        <v>0</v>
      </c>
      <c r="QT530">
        <v>0</v>
      </c>
      <c r="QU530">
        <v>0</v>
      </c>
      <c r="QV530">
        <v>0</v>
      </c>
      <c r="QW530">
        <v>0</v>
      </c>
      <c r="QX530">
        <v>0</v>
      </c>
      <c r="QY530">
        <v>0</v>
      </c>
    </row>
    <row r="531" spans="2:467" hidden="1" x14ac:dyDescent="0.4">
      <c r="B531" t="str">
        <f>"9784004310990"</f>
        <v>9784004310990</v>
      </c>
      <c r="C531" t="s">
        <v>1690</v>
      </c>
      <c r="D531" t="s">
        <v>1691</v>
      </c>
      <c r="E531" t="s">
        <v>1692</v>
      </c>
      <c r="G531" t="s">
        <v>521</v>
      </c>
      <c r="H531" t="str">
        <f>"0231"</f>
        <v>0231</v>
      </c>
      <c r="I531" t="s">
        <v>481</v>
      </c>
      <c r="J531" t="s">
        <v>482</v>
      </c>
      <c r="K531" t="s">
        <v>502</v>
      </c>
      <c r="L531" s="1">
        <v>39356</v>
      </c>
      <c r="M531">
        <v>780</v>
      </c>
      <c r="N531" t="str">
        <f>"333.7"</f>
        <v>333.7</v>
      </c>
      <c r="P531">
        <v>10</v>
      </c>
      <c r="Q531">
        <v>1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10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0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0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0</v>
      </c>
      <c r="NK531">
        <v>0</v>
      </c>
      <c r="NL531">
        <v>0</v>
      </c>
      <c r="NM531">
        <v>0</v>
      </c>
      <c r="NN531">
        <v>0</v>
      </c>
      <c r="NO531">
        <v>0</v>
      </c>
      <c r="NP531">
        <v>0</v>
      </c>
      <c r="NQ531">
        <v>0</v>
      </c>
      <c r="NR531">
        <v>0</v>
      </c>
      <c r="NS531">
        <v>0</v>
      </c>
      <c r="NT531">
        <v>0</v>
      </c>
      <c r="NU531">
        <v>0</v>
      </c>
      <c r="NV531">
        <v>0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C531">
        <v>0</v>
      </c>
      <c r="OD531">
        <v>0</v>
      </c>
      <c r="OE531">
        <v>0</v>
      </c>
      <c r="OF531">
        <v>0</v>
      </c>
      <c r="OG531">
        <v>0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0</v>
      </c>
      <c r="PB531">
        <v>0</v>
      </c>
      <c r="PC531">
        <v>0</v>
      </c>
      <c r="PD531">
        <v>0</v>
      </c>
      <c r="PE531">
        <v>0</v>
      </c>
      <c r="PF531">
        <v>0</v>
      </c>
      <c r="PG531">
        <v>0</v>
      </c>
      <c r="PH531">
        <v>0</v>
      </c>
      <c r="PI531">
        <v>0</v>
      </c>
      <c r="PJ531">
        <v>0</v>
      </c>
      <c r="PK531">
        <v>0</v>
      </c>
      <c r="PL531">
        <v>0</v>
      </c>
      <c r="PM531">
        <v>0</v>
      </c>
      <c r="PN531">
        <v>0</v>
      </c>
      <c r="PO531">
        <v>0</v>
      </c>
      <c r="PP531">
        <v>0</v>
      </c>
      <c r="PQ531">
        <v>0</v>
      </c>
      <c r="PR531">
        <v>0</v>
      </c>
      <c r="PS531">
        <v>0</v>
      </c>
      <c r="PT531">
        <v>0</v>
      </c>
      <c r="PU531">
        <v>0</v>
      </c>
      <c r="PV531">
        <v>0</v>
      </c>
      <c r="PW531">
        <v>0</v>
      </c>
      <c r="PX531">
        <v>0</v>
      </c>
      <c r="PY531">
        <v>0</v>
      </c>
      <c r="PZ531">
        <v>0</v>
      </c>
      <c r="QA531">
        <v>0</v>
      </c>
      <c r="QB531">
        <v>0</v>
      </c>
      <c r="QC531">
        <v>0</v>
      </c>
      <c r="QD531">
        <v>0</v>
      </c>
      <c r="QE531">
        <v>0</v>
      </c>
      <c r="QF531">
        <v>0</v>
      </c>
      <c r="QG531">
        <v>0</v>
      </c>
      <c r="QH531">
        <v>0</v>
      </c>
      <c r="QI531">
        <v>0</v>
      </c>
      <c r="QJ531">
        <v>0</v>
      </c>
      <c r="QK531">
        <v>0</v>
      </c>
      <c r="QL531">
        <v>0</v>
      </c>
      <c r="QM531">
        <v>0</v>
      </c>
      <c r="QN531">
        <v>0</v>
      </c>
      <c r="QO531">
        <v>0</v>
      </c>
      <c r="QP531">
        <v>0</v>
      </c>
      <c r="QQ531">
        <v>0</v>
      </c>
      <c r="QR531">
        <v>0</v>
      </c>
      <c r="QS531">
        <v>0</v>
      </c>
      <c r="QT531">
        <v>0</v>
      </c>
      <c r="QU531">
        <v>0</v>
      </c>
      <c r="QV531">
        <v>0</v>
      </c>
      <c r="QW531">
        <v>0</v>
      </c>
      <c r="QX531">
        <v>0</v>
      </c>
      <c r="QY531">
        <v>0</v>
      </c>
    </row>
    <row r="532" spans="2:467" hidden="1" x14ac:dyDescent="0.4">
      <c r="B532" t="str">
        <f>"9784004318316"</f>
        <v>9784004318316</v>
      </c>
      <c r="C532" t="s">
        <v>1720</v>
      </c>
      <c r="D532" t="s">
        <v>1721</v>
      </c>
      <c r="E532" t="s">
        <v>1722</v>
      </c>
      <c r="G532" t="s">
        <v>521</v>
      </c>
      <c r="H532" t="str">
        <f>"0236"</f>
        <v>0236</v>
      </c>
      <c r="I532" t="s">
        <v>481</v>
      </c>
      <c r="J532" t="s">
        <v>482</v>
      </c>
      <c r="K532" t="s">
        <v>505</v>
      </c>
      <c r="L532" s="1">
        <v>43941</v>
      </c>
      <c r="M532">
        <v>860</v>
      </c>
      <c r="N532" t="str">
        <f>"547.62"</f>
        <v>547.62</v>
      </c>
      <c r="P532">
        <v>10</v>
      </c>
      <c r="Q532">
        <v>1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10</v>
      </c>
      <c r="NG532">
        <v>0</v>
      </c>
      <c r="NH532">
        <v>0</v>
      </c>
      <c r="NI532">
        <v>0</v>
      </c>
      <c r="NJ532">
        <v>0</v>
      </c>
      <c r="NK532">
        <v>0</v>
      </c>
      <c r="NL532">
        <v>0</v>
      </c>
      <c r="NM532">
        <v>0</v>
      </c>
      <c r="NN532">
        <v>0</v>
      </c>
      <c r="NO532">
        <v>0</v>
      </c>
      <c r="NP532">
        <v>0</v>
      </c>
      <c r="NQ532">
        <v>0</v>
      </c>
      <c r="NR532">
        <v>0</v>
      </c>
      <c r="NS532">
        <v>0</v>
      </c>
      <c r="NT532">
        <v>0</v>
      </c>
      <c r="NU532">
        <v>0</v>
      </c>
      <c r="NV532">
        <v>0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C532">
        <v>0</v>
      </c>
      <c r="OD532">
        <v>0</v>
      </c>
      <c r="OE532">
        <v>0</v>
      </c>
      <c r="OF532">
        <v>0</v>
      </c>
      <c r="OG532">
        <v>0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0</v>
      </c>
      <c r="ON532">
        <v>0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0</v>
      </c>
      <c r="PB532">
        <v>0</v>
      </c>
      <c r="PC532">
        <v>0</v>
      </c>
      <c r="PD532">
        <v>0</v>
      </c>
      <c r="PE532">
        <v>0</v>
      </c>
      <c r="PF532">
        <v>0</v>
      </c>
      <c r="PG532">
        <v>0</v>
      </c>
      <c r="PH532">
        <v>0</v>
      </c>
      <c r="PI532">
        <v>0</v>
      </c>
      <c r="PJ532">
        <v>0</v>
      </c>
      <c r="PK532">
        <v>0</v>
      </c>
      <c r="PL532">
        <v>0</v>
      </c>
      <c r="PM532">
        <v>0</v>
      </c>
      <c r="PN532">
        <v>0</v>
      </c>
      <c r="PO532">
        <v>0</v>
      </c>
      <c r="PP532">
        <v>0</v>
      </c>
      <c r="PQ532">
        <v>0</v>
      </c>
      <c r="PR532">
        <v>0</v>
      </c>
      <c r="PS532">
        <v>0</v>
      </c>
      <c r="PT532">
        <v>0</v>
      </c>
      <c r="PU532">
        <v>0</v>
      </c>
      <c r="PV532">
        <v>0</v>
      </c>
      <c r="PW532">
        <v>0</v>
      </c>
      <c r="PX532">
        <v>0</v>
      </c>
      <c r="PY532">
        <v>0</v>
      </c>
      <c r="PZ532">
        <v>0</v>
      </c>
      <c r="QA532">
        <v>0</v>
      </c>
      <c r="QB532">
        <v>0</v>
      </c>
      <c r="QC532">
        <v>0</v>
      </c>
      <c r="QD532">
        <v>0</v>
      </c>
      <c r="QE532">
        <v>0</v>
      </c>
      <c r="QF532">
        <v>0</v>
      </c>
      <c r="QG532">
        <v>0</v>
      </c>
      <c r="QH532">
        <v>0</v>
      </c>
      <c r="QI532">
        <v>0</v>
      </c>
      <c r="QJ532">
        <v>0</v>
      </c>
      <c r="QK532">
        <v>0</v>
      </c>
      <c r="QL532">
        <v>0</v>
      </c>
      <c r="QM532">
        <v>0</v>
      </c>
      <c r="QN532">
        <v>0</v>
      </c>
      <c r="QO532">
        <v>0</v>
      </c>
      <c r="QP532">
        <v>0</v>
      </c>
      <c r="QQ532">
        <v>0</v>
      </c>
      <c r="QR532">
        <v>0</v>
      </c>
      <c r="QS532">
        <v>0</v>
      </c>
      <c r="QT532">
        <v>0</v>
      </c>
      <c r="QU532">
        <v>0</v>
      </c>
      <c r="QV532">
        <v>0</v>
      </c>
      <c r="QW532">
        <v>0</v>
      </c>
      <c r="QX532">
        <v>0</v>
      </c>
      <c r="QY532">
        <v>0</v>
      </c>
    </row>
    <row r="533" spans="2:467" x14ac:dyDescent="0.4">
      <c r="B533" t="str">
        <f>"9784167663032"</f>
        <v>9784167663032</v>
      </c>
      <c r="C533" t="s">
        <v>1750</v>
      </c>
      <c r="D533" t="s">
        <v>1751</v>
      </c>
      <c r="E533" t="s">
        <v>1752</v>
      </c>
      <c r="G533" t="s">
        <v>639</v>
      </c>
      <c r="H533" t="str">
        <f>"0193"</f>
        <v>0193</v>
      </c>
      <c r="I533" t="s">
        <v>481</v>
      </c>
      <c r="J533" t="s">
        <v>487</v>
      </c>
      <c r="K533" t="s">
        <v>488</v>
      </c>
      <c r="L533" s="1">
        <v>37408</v>
      </c>
      <c r="M533">
        <v>660</v>
      </c>
      <c r="N533" t="str">
        <f>"913.6"</f>
        <v>913.6</v>
      </c>
      <c r="P533">
        <v>10</v>
      </c>
      <c r="Q533">
        <v>1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10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0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0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0</v>
      </c>
      <c r="NK533">
        <v>0</v>
      </c>
      <c r="NL533">
        <v>0</v>
      </c>
      <c r="NM533">
        <v>0</v>
      </c>
      <c r="NN533">
        <v>0</v>
      </c>
      <c r="NO533">
        <v>0</v>
      </c>
      <c r="NP533">
        <v>0</v>
      </c>
      <c r="NQ533">
        <v>0</v>
      </c>
      <c r="NR533">
        <v>0</v>
      </c>
      <c r="NS533">
        <v>0</v>
      </c>
      <c r="NT533">
        <v>0</v>
      </c>
      <c r="NU533">
        <v>0</v>
      </c>
      <c r="NV533">
        <v>0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C533">
        <v>0</v>
      </c>
      <c r="OD533">
        <v>0</v>
      </c>
      <c r="OE533">
        <v>0</v>
      </c>
      <c r="OF533">
        <v>0</v>
      </c>
      <c r="OG533">
        <v>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  <c r="PB533">
        <v>0</v>
      </c>
      <c r="PC533">
        <v>0</v>
      </c>
      <c r="PD533">
        <v>0</v>
      </c>
      <c r="PE533">
        <v>0</v>
      </c>
      <c r="PF533">
        <v>0</v>
      </c>
      <c r="PG533">
        <v>0</v>
      </c>
      <c r="PH533">
        <v>0</v>
      </c>
      <c r="PI533">
        <v>0</v>
      </c>
      <c r="PJ533">
        <v>0</v>
      </c>
      <c r="PK533">
        <v>0</v>
      </c>
      <c r="PL533">
        <v>0</v>
      </c>
      <c r="PM533">
        <v>0</v>
      </c>
      <c r="PN533">
        <v>0</v>
      </c>
      <c r="PO533">
        <v>0</v>
      </c>
      <c r="PP533">
        <v>0</v>
      </c>
      <c r="PQ533">
        <v>0</v>
      </c>
      <c r="PR533">
        <v>0</v>
      </c>
      <c r="PS533">
        <v>0</v>
      </c>
      <c r="PT533">
        <v>0</v>
      </c>
      <c r="PU533">
        <v>0</v>
      </c>
      <c r="PV533">
        <v>0</v>
      </c>
      <c r="PW533">
        <v>0</v>
      </c>
      <c r="PX533">
        <v>0</v>
      </c>
      <c r="PY533">
        <v>0</v>
      </c>
      <c r="PZ533">
        <v>0</v>
      </c>
      <c r="QA533">
        <v>0</v>
      </c>
      <c r="QB533">
        <v>0</v>
      </c>
      <c r="QC533">
        <v>0</v>
      </c>
      <c r="QD533">
        <v>0</v>
      </c>
      <c r="QE533">
        <v>0</v>
      </c>
      <c r="QF533">
        <v>0</v>
      </c>
      <c r="QG533">
        <v>0</v>
      </c>
      <c r="QH533">
        <v>0</v>
      </c>
      <c r="QI533">
        <v>0</v>
      </c>
      <c r="QJ533">
        <v>0</v>
      </c>
      <c r="QK533">
        <v>0</v>
      </c>
      <c r="QL533">
        <v>0</v>
      </c>
      <c r="QM533">
        <v>0</v>
      </c>
      <c r="QN533">
        <v>0</v>
      </c>
      <c r="QO533">
        <v>0</v>
      </c>
      <c r="QP533">
        <v>0</v>
      </c>
      <c r="QQ533">
        <v>0</v>
      </c>
      <c r="QR533">
        <v>0</v>
      </c>
      <c r="QS533">
        <v>0</v>
      </c>
      <c r="QT533">
        <v>0</v>
      </c>
      <c r="QU533">
        <v>0</v>
      </c>
      <c r="QV533">
        <v>0</v>
      </c>
      <c r="QW533">
        <v>0</v>
      </c>
      <c r="QX533">
        <v>0</v>
      </c>
      <c r="QY533">
        <v>0</v>
      </c>
    </row>
    <row r="534" spans="2:467" hidden="1" x14ac:dyDescent="0.4">
      <c r="B534" t="str">
        <f>"9784022951007"</f>
        <v>9784022951007</v>
      </c>
      <c r="C534" t="s">
        <v>1819</v>
      </c>
      <c r="D534" t="s">
        <v>1820</v>
      </c>
      <c r="E534">
        <v>790</v>
      </c>
      <c r="G534" t="s">
        <v>498</v>
      </c>
      <c r="H534" t="str">
        <f>"0240"</f>
        <v>0240</v>
      </c>
      <c r="I534" t="s">
        <v>481</v>
      </c>
      <c r="J534" t="s">
        <v>482</v>
      </c>
      <c r="K534" t="s">
        <v>703</v>
      </c>
      <c r="L534" s="1">
        <v>44148</v>
      </c>
      <c r="M534">
        <v>810</v>
      </c>
      <c r="N534" t="str">
        <f>"493.8"</f>
        <v>493.8</v>
      </c>
      <c r="P534">
        <v>10</v>
      </c>
      <c r="Q534">
        <v>1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</v>
      </c>
      <c r="MQ534">
        <v>0</v>
      </c>
      <c r="MR534">
        <v>0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0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0</v>
      </c>
      <c r="NK534">
        <v>0</v>
      </c>
      <c r="NL534">
        <v>0</v>
      </c>
      <c r="NM534">
        <v>0</v>
      </c>
      <c r="NN534">
        <v>0</v>
      </c>
      <c r="NO534">
        <v>0</v>
      </c>
      <c r="NP534">
        <v>0</v>
      </c>
      <c r="NQ534">
        <v>0</v>
      </c>
      <c r="NR534">
        <v>0</v>
      </c>
      <c r="NS534">
        <v>0</v>
      </c>
      <c r="NT534">
        <v>0</v>
      </c>
      <c r="NU534">
        <v>0</v>
      </c>
      <c r="NV534">
        <v>0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C534">
        <v>0</v>
      </c>
      <c r="OD534">
        <v>0</v>
      </c>
      <c r="OE534">
        <v>0</v>
      </c>
      <c r="OF534">
        <v>0</v>
      </c>
      <c r="OG534">
        <v>0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0</v>
      </c>
      <c r="PB534">
        <v>0</v>
      </c>
      <c r="PC534">
        <v>0</v>
      </c>
      <c r="PD534">
        <v>0</v>
      </c>
      <c r="PE534">
        <v>0</v>
      </c>
      <c r="PF534">
        <v>0</v>
      </c>
      <c r="PG534">
        <v>0</v>
      </c>
      <c r="PH534">
        <v>0</v>
      </c>
      <c r="PI534">
        <v>0</v>
      </c>
      <c r="PJ534">
        <v>0</v>
      </c>
      <c r="PK534">
        <v>0</v>
      </c>
      <c r="PL534">
        <v>0</v>
      </c>
      <c r="PM534">
        <v>0</v>
      </c>
      <c r="PN534">
        <v>0</v>
      </c>
      <c r="PO534">
        <v>0</v>
      </c>
      <c r="PP534">
        <v>0</v>
      </c>
      <c r="PQ534">
        <v>0</v>
      </c>
      <c r="PR534">
        <v>0</v>
      </c>
      <c r="PS534">
        <v>0</v>
      </c>
      <c r="PT534">
        <v>0</v>
      </c>
      <c r="PU534">
        <v>0</v>
      </c>
      <c r="PV534">
        <v>0</v>
      </c>
      <c r="PW534">
        <v>0</v>
      </c>
      <c r="PX534">
        <v>0</v>
      </c>
      <c r="PY534">
        <v>0</v>
      </c>
      <c r="PZ534">
        <v>0</v>
      </c>
      <c r="QA534">
        <v>0</v>
      </c>
      <c r="QB534">
        <v>0</v>
      </c>
      <c r="QC534">
        <v>10</v>
      </c>
      <c r="QD534">
        <v>0</v>
      </c>
      <c r="QE534">
        <v>0</v>
      </c>
      <c r="QF534">
        <v>0</v>
      </c>
      <c r="QG534">
        <v>0</v>
      </c>
      <c r="QH534">
        <v>0</v>
      </c>
      <c r="QI534">
        <v>0</v>
      </c>
      <c r="QJ534">
        <v>0</v>
      </c>
      <c r="QK534">
        <v>0</v>
      </c>
      <c r="QL534">
        <v>0</v>
      </c>
      <c r="QM534">
        <v>0</v>
      </c>
      <c r="QN534">
        <v>0</v>
      </c>
      <c r="QO534">
        <v>0</v>
      </c>
      <c r="QP534">
        <v>0</v>
      </c>
      <c r="QQ534">
        <v>0</v>
      </c>
      <c r="QR534">
        <v>0</v>
      </c>
      <c r="QS534">
        <v>0</v>
      </c>
      <c r="QT534">
        <v>0</v>
      </c>
      <c r="QU534">
        <v>0</v>
      </c>
      <c r="QV534">
        <v>0</v>
      </c>
      <c r="QW534">
        <v>0</v>
      </c>
      <c r="QX534">
        <v>0</v>
      </c>
      <c r="QY534">
        <v>0</v>
      </c>
    </row>
    <row r="535" spans="2:467" hidden="1" x14ac:dyDescent="0.4">
      <c r="B535" t="s">
        <v>0</v>
      </c>
    </row>
    <row r="536" spans="2:467" hidden="1" x14ac:dyDescent="0.4">
      <c r="B536" t="s">
        <v>1</v>
      </c>
    </row>
    <row r="537" spans="2:467" hidden="1" x14ac:dyDescent="0.4">
      <c r="B537" t="s">
        <v>2</v>
      </c>
    </row>
    <row r="538" spans="2:467" hidden="1" x14ac:dyDescent="0.4">
      <c r="B538" t="s">
        <v>4</v>
      </c>
    </row>
    <row r="539" spans="2:467" hidden="1" x14ac:dyDescent="0.4">
      <c r="B539" t="s">
        <v>5</v>
      </c>
    </row>
    <row r="540" spans="2:467" hidden="1" x14ac:dyDescent="0.4">
      <c r="B540" t="s">
        <v>6</v>
      </c>
    </row>
    <row r="541" spans="2:467" hidden="1" x14ac:dyDescent="0.4">
      <c r="R541" t="str">
        <f>"110000"</f>
        <v>110000</v>
      </c>
      <c r="S541" t="str">
        <f>"111101"</f>
        <v>111101</v>
      </c>
      <c r="T541" t="str">
        <f>"111102"</f>
        <v>111102</v>
      </c>
      <c r="U541" t="str">
        <f>"111103"</f>
        <v>111103</v>
      </c>
      <c r="V541" t="str">
        <f>"111104"</f>
        <v>111104</v>
      </c>
      <c r="W541" t="str">
        <f>"111201"</f>
        <v>111201</v>
      </c>
      <c r="X541" t="str">
        <f>"111202"</f>
        <v>111202</v>
      </c>
      <c r="Y541" t="str">
        <f>"111301"</f>
        <v>111301</v>
      </c>
      <c r="Z541" t="str">
        <f>"111401"</f>
        <v>111401</v>
      </c>
      <c r="AA541" t="str">
        <f>"111501"</f>
        <v>111501</v>
      </c>
      <c r="AB541" t="str">
        <f>"113101"</f>
        <v>113101</v>
      </c>
      <c r="AC541" t="str">
        <f>"113201"</f>
        <v>113201</v>
      </c>
      <c r="AD541" t="str">
        <f>"114101"</f>
        <v>114101</v>
      </c>
      <c r="AE541" t="str">
        <f>"114201"</f>
        <v>114201</v>
      </c>
      <c r="AF541" t="str">
        <f>"114301"</f>
        <v>114301</v>
      </c>
      <c r="AG541" t="str">
        <f>"114401"</f>
        <v>114401</v>
      </c>
      <c r="AH541" t="str">
        <f>"115101"</f>
        <v>115101</v>
      </c>
      <c r="AI541" t="str">
        <f>"115201"</f>
        <v>115201</v>
      </c>
      <c r="AJ541" t="str">
        <f>"115301"</f>
        <v>115301</v>
      </c>
      <c r="AK541" t="str">
        <f>"115401"</f>
        <v>115401</v>
      </c>
      <c r="AL541" t="str">
        <f>"116101"</f>
        <v>116101</v>
      </c>
      <c r="AM541" t="str">
        <f>"116201"</f>
        <v>116201</v>
      </c>
      <c r="AN541" t="str">
        <f>"116301"</f>
        <v>116301</v>
      </c>
      <c r="AO541" t="str">
        <f>"210000"</f>
        <v>210000</v>
      </c>
      <c r="AP541" t="str">
        <f>"211001"</f>
        <v>211001</v>
      </c>
      <c r="AQ541" t="str">
        <f>"211002"</f>
        <v>211002</v>
      </c>
      <c r="AR541" t="str">
        <f>"211003"</f>
        <v>211003</v>
      </c>
      <c r="AS541" t="str">
        <f>"211004"</f>
        <v>211004</v>
      </c>
      <c r="AT541" t="str">
        <f>"211005"</f>
        <v>211005</v>
      </c>
      <c r="AU541" t="str">
        <f>"211006"</f>
        <v>211006</v>
      </c>
      <c r="AV541" t="str">
        <f>"211101"</f>
        <v>211101</v>
      </c>
      <c r="AW541" t="str">
        <f>"211102"</f>
        <v>211102</v>
      </c>
      <c r="AX541" t="str">
        <f>"211104"</f>
        <v>211104</v>
      </c>
      <c r="AY541" t="str">
        <f>"211105"</f>
        <v>211105</v>
      </c>
      <c r="AZ541" t="str">
        <f>"211115"</f>
        <v>211115</v>
      </c>
      <c r="BA541" t="str">
        <f>"211201"</f>
        <v>211201</v>
      </c>
      <c r="BB541" t="str">
        <f>"212101"</f>
        <v>212101</v>
      </c>
      <c r="BC541" t="str">
        <f>"212201"</f>
        <v>212201</v>
      </c>
      <c r="BD541" t="str">
        <f>"212301"</f>
        <v>212301</v>
      </c>
      <c r="BE541" t="str">
        <f>"213101"</f>
        <v>213101</v>
      </c>
      <c r="BF541" t="str">
        <f>"213102"</f>
        <v>213102</v>
      </c>
      <c r="BG541" t="str">
        <f>"214101"</f>
        <v>214101</v>
      </c>
      <c r="BH541" t="str">
        <f>"214102"</f>
        <v>214102</v>
      </c>
      <c r="BI541" t="str">
        <f>"214103"</f>
        <v>214103</v>
      </c>
      <c r="BJ541" t="str">
        <f>"214104"</f>
        <v>214104</v>
      </c>
      <c r="BK541" t="str">
        <f>"214105"</f>
        <v>214105</v>
      </c>
      <c r="BL541" t="str">
        <f>"215101"</f>
        <v>215101</v>
      </c>
      <c r="BM541" t="str">
        <f>"215102"</f>
        <v>215102</v>
      </c>
      <c r="BN541" t="str">
        <f>"215103"</f>
        <v>215103</v>
      </c>
      <c r="BO541" t="str">
        <f>"215104"</f>
        <v>215104</v>
      </c>
      <c r="BP541" t="str">
        <f>"215105"</f>
        <v>215105</v>
      </c>
      <c r="BQ541" t="str">
        <f>"215106"</f>
        <v>215106</v>
      </c>
      <c r="BR541" t="str">
        <f>"215107"</f>
        <v>215107</v>
      </c>
      <c r="BS541" t="str">
        <f>"215201"</f>
        <v>215201</v>
      </c>
      <c r="BT541" t="str">
        <f>"215202"</f>
        <v>215202</v>
      </c>
      <c r="BU541" t="str">
        <f>"215203"</f>
        <v>215203</v>
      </c>
      <c r="BV541" t="str">
        <f>"215301"</f>
        <v>215301</v>
      </c>
      <c r="BW541" t="str">
        <f>"215302"</f>
        <v>215302</v>
      </c>
      <c r="BX541" t="str">
        <f>"215401"</f>
        <v>215401</v>
      </c>
      <c r="BY541" t="str">
        <f>"215402"</f>
        <v>215402</v>
      </c>
      <c r="BZ541" t="str">
        <f>"215501"</f>
        <v>215501</v>
      </c>
      <c r="CA541" t="str">
        <f>"215601"</f>
        <v>215601</v>
      </c>
      <c r="CB541" t="str">
        <f>"215602"</f>
        <v>215602</v>
      </c>
      <c r="CC541" t="str">
        <f>"217101"</f>
        <v>217101</v>
      </c>
      <c r="CD541" t="str">
        <f>"218101"</f>
        <v>218101</v>
      </c>
      <c r="CE541" t="str">
        <f>"218102"</f>
        <v>218102</v>
      </c>
      <c r="CF541" t="str">
        <f>"310000"</f>
        <v>310000</v>
      </c>
      <c r="CG541" t="str">
        <f>"311001"</f>
        <v>311001</v>
      </c>
      <c r="CH541" t="str">
        <f>"321101"</f>
        <v>321101</v>
      </c>
      <c r="CI541" t="str">
        <f>"321102"</f>
        <v>321102</v>
      </c>
      <c r="CJ541" t="str">
        <f>"321103"</f>
        <v>321103</v>
      </c>
      <c r="CK541" t="str">
        <f>"321104"</f>
        <v>321104</v>
      </c>
      <c r="CL541" t="str">
        <f>"321105"</f>
        <v>321105</v>
      </c>
      <c r="CM541" t="str">
        <f>"321108"</f>
        <v>321108</v>
      </c>
      <c r="CN541" t="str">
        <f>"321109"</f>
        <v>321109</v>
      </c>
      <c r="CO541" t="str">
        <f>"321111"</f>
        <v>321111</v>
      </c>
      <c r="CP541" t="str">
        <f>"321112"</f>
        <v>321112</v>
      </c>
      <c r="CQ541" t="str">
        <f>"321201"</f>
        <v>321201</v>
      </c>
      <c r="CR541" t="str">
        <f>"321202"</f>
        <v>321202</v>
      </c>
      <c r="CS541" t="str">
        <f>"321203"</f>
        <v>321203</v>
      </c>
      <c r="CT541" t="str">
        <f>"321204"</f>
        <v>321204</v>
      </c>
      <c r="CU541" t="str">
        <f>"321205"</f>
        <v>321205</v>
      </c>
      <c r="CV541" t="str">
        <f>"321206"</f>
        <v>321206</v>
      </c>
      <c r="CW541" t="str">
        <f>"321208"</f>
        <v>321208</v>
      </c>
      <c r="CX541" t="str">
        <f>"321301"</f>
        <v>321301</v>
      </c>
      <c r="CY541" t="str">
        <f>"321302"</f>
        <v>321302</v>
      </c>
      <c r="CZ541" t="str">
        <f>"321303"</f>
        <v>321303</v>
      </c>
      <c r="DA541" t="str">
        <f>"321304"</f>
        <v>321304</v>
      </c>
      <c r="DB541" t="str">
        <f>"325101"</f>
        <v>325101</v>
      </c>
      <c r="DC541" t="str">
        <f>"325102"</f>
        <v>325102</v>
      </c>
      <c r="DD541" t="str">
        <f>"325103"</f>
        <v>325103</v>
      </c>
      <c r="DE541" t="str">
        <f>"325104"</f>
        <v>325104</v>
      </c>
      <c r="DF541" t="str">
        <f>"325105"</f>
        <v>325105</v>
      </c>
      <c r="DG541" t="str">
        <f>"325106"</f>
        <v>325106</v>
      </c>
      <c r="DH541" t="str">
        <f>"325107"</f>
        <v>325107</v>
      </c>
      <c r="DI541" t="str">
        <f>"325108"</f>
        <v>325108</v>
      </c>
      <c r="DJ541" t="str">
        <f>"331101"</f>
        <v>331101</v>
      </c>
      <c r="DK541" t="str">
        <f>"331103"</f>
        <v>331103</v>
      </c>
      <c r="DL541" t="str">
        <f>"331104"</f>
        <v>331104</v>
      </c>
      <c r="DM541" t="str">
        <f>"331105"</f>
        <v>331105</v>
      </c>
      <c r="DN541" t="str">
        <f>"331201"</f>
        <v>331201</v>
      </c>
      <c r="DO541" t="str">
        <f>"331202"</f>
        <v>331202</v>
      </c>
      <c r="DP541" t="str">
        <f>"331301"</f>
        <v>331301</v>
      </c>
      <c r="DQ541" t="str">
        <f>"331302"</f>
        <v>331302</v>
      </c>
      <c r="DR541" t="str">
        <f>"331401"</f>
        <v>331401</v>
      </c>
      <c r="DS541" t="str">
        <f>"331402"</f>
        <v>331402</v>
      </c>
      <c r="DT541" t="str">
        <f>"331501"</f>
        <v>331501</v>
      </c>
      <c r="DU541" t="str">
        <f>"331503"</f>
        <v>331503</v>
      </c>
      <c r="DV541" t="str">
        <f>"331505"</f>
        <v>331505</v>
      </c>
      <c r="DW541" t="str">
        <f>"331701"</f>
        <v>331701</v>
      </c>
      <c r="DX541" t="str">
        <f>"331702"</f>
        <v>331702</v>
      </c>
      <c r="DY541" t="str">
        <f>"336101"</f>
        <v>336101</v>
      </c>
      <c r="DZ541" t="str">
        <f>"336102"</f>
        <v>336102</v>
      </c>
      <c r="EA541" t="str">
        <f>"336104"</f>
        <v>336104</v>
      </c>
      <c r="EB541" t="str">
        <f>"336201"</f>
        <v>336201</v>
      </c>
      <c r="EC541" t="str">
        <f>"336301"</f>
        <v>336301</v>
      </c>
      <c r="ED541" t="str">
        <f>"341101"</f>
        <v>341101</v>
      </c>
      <c r="EE541" t="str">
        <f>"341102"</f>
        <v>341102</v>
      </c>
      <c r="EF541" t="str">
        <f>"341201"</f>
        <v>341201</v>
      </c>
      <c r="EG541" t="str">
        <f>"341202"</f>
        <v>341202</v>
      </c>
      <c r="EH541" t="str">
        <f>"341301"</f>
        <v>341301</v>
      </c>
      <c r="EI541" t="str">
        <f>"341302"</f>
        <v>341302</v>
      </c>
      <c r="EJ541" t="str">
        <f>"341304"</f>
        <v>341304</v>
      </c>
      <c r="EK541" t="str">
        <f>"341305"</f>
        <v>341305</v>
      </c>
      <c r="EL541" t="str">
        <f>"341306"</f>
        <v>341306</v>
      </c>
      <c r="EM541" t="str">
        <f>"341401"</f>
        <v>341401</v>
      </c>
      <c r="EN541" t="str">
        <f>"341501"</f>
        <v>341501</v>
      </c>
      <c r="EO541" t="str">
        <f>"341604"</f>
        <v>341604</v>
      </c>
      <c r="EP541" t="str">
        <f>"341801"</f>
        <v>341801</v>
      </c>
      <c r="EQ541" t="str">
        <f>"341901"</f>
        <v>341901</v>
      </c>
      <c r="ER541" t="str">
        <f>"345101"</f>
        <v>345101</v>
      </c>
      <c r="ES541" t="str">
        <f>"345301"</f>
        <v>345301</v>
      </c>
      <c r="ET541" t="str">
        <f>"345401"</f>
        <v>345401</v>
      </c>
      <c r="EU541" t="str">
        <f>"345402"</f>
        <v>345402</v>
      </c>
      <c r="EV541" t="str">
        <f>"345501"</f>
        <v>345501</v>
      </c>
      <c r="EW541" t="str">
        <f>"345502"</f>
        <v>345502</v>
      </c>
      <c r="EX541" t="str">
        <f>"345601"</f>
        <v>345601</v>
      </c>
      <c r="EY541" t="str">
        <f>"345801"</f>
        <v>345801</v>
      </c>
      <c r="EZ541" t="str">
        <f>"345802"</f>
        <v>345802</v>
      </c>
      <c r="FA541" t="str">
        <f>"351101"</f>
        <v>351101</v>
      </c>
      <c r="FB541" t="str">
        <f>"351201"</f>
        <v>351201</v>
      </c>
      <c r="FC541" t="str">
        <f>"351202"</f>
        <v>351202</v>
      </c>
      <c r="FD541" t="str">
        <f>"351301"</f>
        <v>351301</v>
      </c>
      <c r="FE541" t="str">
        <f>"351401"</f>
        <v>351401</v>
      </c>
      <c r="FF541" t="str">
        <f>"351501"</f>
        <v>351501</v>
      </c>
      <c r="FG541" t="str">
        <f>"351502"</f>
        <v>351502</v>
      </c>
      <c r="FH541" t="str">
        <f>"351601"</f>
        <v>351601</v>
      </c>
      <c r="FI541" t="str">
        <f>"351602"</f>
        <v>351602</v>
      </c>
      <c r="FJ541" t="str">
        <f>"351603"</f>
        <v>351603</v>
      </c>
      <c r="FK541" t="str">
        <f>"351605"</f>
        <v>351605</v>
      </c>
      <c r="FL541" t="str">
        <f>"351701"</f>
        <v>351701</v>
      </c>
      <c r="FM541" t="str">
        <f>"357101"</f>
        <v>357101</v>
      </c>
      <c r="FN541" t="str">
        <f>"357102"</f>
        <v>357102</v>
      </c>
      <c r="FO541" t="str">
        <f>"357201"</f>
        <v>357201</v>
      </c>
      <c r="FP541" t="str">
        <f>"357301"</f>
        <v>357301</v>
      </c>
      <c r="FQ541" t="str">
        <f>"357302"</f>
        <v>357302</v>
      </c>
      <c r="FR541" t="str">
        <f>"357401"</f>
        <v>357401</v>
      </c>
      <c r="FS541" t="str">
        <f>"357501"</f>
        <v>357501</v>
      </c>
      <c r="FT541" t="str">
        <f>"361101"</f>
        <v>361101</v>
      </c>
      <c r="FU541" t="str">
        <f>"361102"</f>
        <v>361102</v>
      </c>
      <c r="FV541" t="str">
        <f>"361201"</f>
        <v>361201</v>
      </c>
      <c r="FW541" t="str">
        <f>"361202"</f>
        <v>361202</v>
      </c>
      <c r="FX541" t="str">
        <f>"361301"</f>
        <v>361301</v>
      </c>
      <c r="FY541" t="str">
        <f>"361401"</f>
        <v>361401</v>
      </c>
      <c r="FZ541" t="str">
        <f>"361501"</f>
        <v>361501</v>
      </c>
      <c r="GA541" t="str">
        <f>"361502"</f>
        <v>361502</v>
      </c>
      <c r="GB541" t="str">
        <f>"361601"</f>
        <v>361601</v>
      </c>
      <c r="GC541" t="str">
        <f>"361701"</f>
        <v>361701</v>
      </c>
      <c r="GD541" t="str">
        <f>"361801"</f>
        <v>361801</v>
      </c>
      <c r="GE541" t="str">
        <f>"361901"</f>
        <v>361901</v>
      </c>
      <c r="GF541" t="str">
        <f>"362101"</f>
        <v>362101</v>
      </c>
      <c r="GG541" t="str">
        <f>"362401"</f>
        <v>362401</v>
      </c>
      <c r="GH541" t="str">
        <f>"362501"</f>
        <v>362501</v>
      </c>
      <c r="GI541" t="str">
        <f>"371101"</f>
        <v>371101</v>
      </c>
      <c r="GJ541" t="str">
        <f>"371102"</f>
        <v>371102</v>
      </c>
      <c r="GK541" t="str">
        <f>"371103"</f>
        <v>371103</v>
      </c>
      <c r="GL541" t="str">
        <f>"371201"</f>
        <v>371201</v>
      </c>
      <c r="GM541" t="str">
        <f>"371301"</f>
        <v>371301</v>
      </c>
      <c r="GN541" t="str">
        <f>"372101"</f>
        <v>372101</v>
      </c>
      <c r="GO541" t="str">
        <f>"372102"</f>
        <v>372102</v>
      </c>
      <c r="GP541" t="str">
        <f>"372103"</f>
        <v>372103</v>
      </c>
      <c r="GQ541" t="str">
        <f>"372104"</f>
        <v>372104</v>
      </c>
      <c r="GR541" t="str">
        <f>"372105"</f>
        <v>372105</v>
      </c>
      <c r="GS541" t="str">
        <f>"372107"</f>
        <v>372107</v>
      </c>
      <c r="GT541" t="str">
        <f>"372201"</f>
        <v>372201</v>
      </c>
      <c r="GU541" t="str">
        <f>"372501"</f>
        <v>372501</v>
      </c>
      <c r="GV541" t="str">
        <f>"372601"</f>
        <v>372601</v>
      </c>
      <c r="GW541" t="str">
        <f>"372701"</f>
        <v>372701</v>
      </c>
      <c r="GX541" t="str">
        <f>"372801"</f>
        <v>372801</v>
      </c>
      <c r="GY541" t="str">
        <f>"373101"</f>
        <v>373101</v>
      </c>
      <c r="GZ541" t="str">
        <f>"373102"</f>
        <v>373102</v>
      </c>
      <c r="HA541" t="str">
        <f>"373201"</f>
        <v>373201</v>
      </c>
      <c r="HB541" t="str">
        <f>"373202"</f>
        <v>373202</v>
      </c>
      <c r="HC541" t="str">
        <f>"374101"</f>
        <v>374101</v>
      </c>
      <c r="HD541" t="str">
        <f>"374102"</f>
        <v>374102</v>
      </c>
      <c r="HE541" t="str">
        <f>"374103"</f>
        <v>374103</v>
      </c>
      <c r="HF541" t="str">
        <f>"374201"</f>
        <v>374201</v>
      </c>
      <c r="HG541" t="str">
        <f>"374401"</f>
        <v>374401</v>
      </c>
      <c r="HH541" t="str">
        <f>"374501"</f>
        <v>374501</v>
      </c>
      <c r="HI541" t="str">
        <f>"375101"</f>
        <v>375101</v>
      </c>
      <c r="HJ541" t="str">
        <f>"375102"</f>
        <v>375102</v>
      </c>
      <c r="HK541" t="str">
        <f>"375201"</f>
        <v>375201</v>
      </c>
      <c r="HL541" t="str">
        <f>"375202"</f>
        <v>375202</v>
      </c>
      <c r="HM541" t="str">
        <f>"376101"</f>
        <v>376101</v>
      </c>
      <c r="HN541" t="str">
        <f>"376102"</f>
        <v>376102</v>
      </c>
      <c r="HO541" t="str">
        <f>"376103"</f>
        <v>376103</v>
      </c>
      <c r="HP541" t="str">
        <f>"376201"</f>
        <v>376201</v>
      </c>
      <c r="HQ541" t="str">
        <f>"510000"</f>
        <v>510000</v>
      </c>
      <c r="HR541" t="str">
        <f>"511001"</f>
        <v>511001</v>
      </c>
      <c r="HS541" t="str">
        <f>"511002"</f>
        <v>511002</v>
      </c>
      <c r="HT541" t="str">
        <f>"511000"</f>
        <v>511000</v>
      </c>
      <c r="HU541" t="str">
        <f>"511101"</f>
        <v>511101</v>
      </c>
      <c r="HV541" t="str">
        <f>"511102"</f>
        <v>511102</v>
      </c>
      <c r="HW541" t="str">
        <f>"511103"</f>
        <v>511103</v>
      </c>
      <c r="HX541" t="str">
        <f>"511104"</f>
        <v>511104</v>
      </c>
      <c r="HY541" t="str">
        <f>"511201"</f>
        <v>511201</v>
      </c>
      <c r="HZ541" t="str">
        <f>"511202"</f>
        <v>511202</v>
      </c>
      <c r="IA541" t="str">
        <f>"511301"</f>
        <v>511301</v>
      </c>
      <c r="IB541" t="str">
        <f>"511302"</f>
        <v>511302</v>
      </c>
      <c r="IC541" t="str">
        <f>"511303"</f>
        <v>511303</v>
      </c>
      <c r="ID541" t="str">
        <f>"511401"</f>
        <v>511401</v>
      </c>
      <c r="IE541" t="str">
        <f>"511402"</f>
        <v>511402</v>
      </c>
      <c r="IF541" t="str">
        <f>"511601"</f>
        <v>511601</v>
      </c>
      <c r="IG541" t="str">
        <f>"511603"</f>
        <v>511603</v>
      </c>
      <c r="IH541" t="str">
        <f>"511701"</f>
        <v>511701</v>
      </c>
      <c r="II541" t="str">
        <f>"511702"</f>
        <v>511702</v>
      </c>
      <c r="IJ541" t="str">
        <f>"511901"</f>
        <v>511901</v>
      </c>
      <c r="IK541" t="str">
        <f>"513203"</f>
        <v>513203</v>
      </c>
      <c r="IL541" t="str">
        <f>"513204"</f>
        <v>513204</v>
      </c>
      <c r="IM541" t="str">
        <f>"513202"</f>
        <v>513202</v>
      </c>
      <c r="IN541" t="str">
        <f>"513301"</f>
        <v>513301</v>
      </c>
      <c r="IO541" t="str">
        <f>"513401"</f>
        <v>513401</v>
      </c>
      <c r="IP541" t="str">
        <f>"513402"</f>
        <v>513402</v>
      </c>
      <c r="IQ541" t="str">
        <f>"513403"</f>
        <v>513403</v>
      </c>
      <c r="IR541" t="str">
        <f>"513501"</f>
        <v>513501</v>
      </c>
      <c r="IS541" t="str">
        <f>"513601"</f>
        <v>513601</v>
      </c>
      <c r="IT541" t="str">
        <f>"515101"</f>
        <v>515101</v>
      </c>
      <c r="IU541" t="str">
        <f>"515102"</f>
        <v>515102</v>
      </c>
      <c r="IV541" t="str">
        <f>"516101"</f>
        <v>516101</v>
      </c>
      <c r="IW541" t="str">
        <f>"516102"</f>
        <v>516102</v>
      </c>
      <c r="IX541" t="str">
        <f>"516201"</f>
        <v>516201</v>
      </c>
      <c r="IY541" t="str">
        <f>"517101"</f>
        <v>517101</v>
      </c>
      <c r="IZ541" t="str">
        <f>"517102"</f>
        <v>517102</v>
      </c>
      <c r="JA541" t="str">
        <f>"517201"</f>
        <v>517201</v>
      </c>
      <c r="JB541" t="str">
        <f>"517301"</f>
        <v>517301</v>
      </c>
      <c r="JC541" t="str">
        <f>"517401"</f>
        <v>517401</v>
      </c>
      <c r="JD541" t="str">
        <f>"517501"</f>
        <v>517501</v>
      </c>
      <c r="JE541" t="str">
        <f>"610000"</f>
        <v>610000</v>
      </c>
      <c r="JF541" t="str">
        <f>"611101"</f>
        <v>611101</v>
      </c>
      <c r="JG541" t="str">
        <f>"611103"</f>
        <v>611103</v>
      </c>
      <c r="JH541" t="str">
        <f>"611104"</f>
        <v>611104</v>
      </c>
      <c r="JI541" t="str">
        <f>"611105"</f>
        <v>611105</v>
      </c>
      <c r="JJ541" t="str">
        <f>"611106"</f>
        <v>611106</v>
      </c>
      <c r="JK541" t="str">
        <f>"611107"</f>
        <v>611107</v>
      </c>
      <c r="JL541" t="str">
        <f>"611109"</f>
        <v>611109</v>
      </c>
      <c r="JM541" t="str">
        <f>"611201"</f>
        <v>611201</v>
      </c>
      <c r="JN541" t="str">
        <f>"611204"</f>
        <v>611204</v>
      </c>
      <c r="JO541" t="str">
        <f>"611205"</f>
        <v>611205</v>
      </c>
      <c r="JP541" t="str">
        <f>"611206"</f>
        <v>611206</v>
      </c>
      <c r="JQ541" t="str">
        <f>"611301"</f>
        <v>611301</v>
      </c>
      <c r="JR541" t="str">
        <f>"611303"</f>
        <v>611303</v>
      </c>
      <c r="JS541" t="str">
        <f>"611310"</f>
        <v>611310</v>
      </c>
      <c r="JT541" t="str">
        <f>"611311"</f>
        <v>611311</v>
      </c>
      <c r="JU541" t="str">
        <f>"611312"</f>
        <v>611312</v>
      </c>
      <c r="JV541" t="str">
        <f>"611313"</f>
        <v>611313</v>
      </c>
      <c r="JW541" t="str">
        <f>"611314"</f>
        <v>611314</v>
      </c>
      <c r="JX541" t="str">
        <f>"611401"</f>
        <v>611401</v>
      </c>
      <c r="JY541" t="str">
        <f>"611402"</f>
        <v>611402</v>
      </c>
      <c r="JZ541" t="str">
        <f>"611403"</f>
        <v>611403</v>
      </c>
      <c r="KA541" t="str">
        <f>"611404"</f>
        <v>611404</v>
      </c>
      <c r="KB541" t="str">
        <f>"611501"</f>
        <v>611501</v>
      </c>
      <c r="KC541" t="str">
        <f>"611502"</f>
        <v>611502</v>
      </c>
      <c r="KD541" t="str">
        <f>"611503"</f>
        <v>611503</v>
      </c>
      <c r="KE541" t="str">
        <f>"611601"</f>
        <v>611601</v>
      </c>
      <c r="KF541" t="str">
        <f>"611701"</f>
        <v>611701</v>
      </c>
      <c r="KG541" t="str">
        <f>"611901"</f>
        <v>611901</v>
      </c>
      <c r="KH541" t="str">
        <f>"612001"</f>
        <v>612001</v>
      </c>
      <c r="KI541" t="str">
        <f>"612101"</f>
        <v>612101</v>
      </c>
      <c r="KJ541" t="str">
        <f>"612201"</f>
        <v>612201</v>
      </c>
      <c r="KK541" t="str">
        <f>"615101"</f>
        <v>615101</v>
      </c>
      <c r="KL541" t="str">
        <f>"615201"</f>
        <v>615201</v>
      </c>
      <c r="KM541" t="str">
        <f>"615301"</f>
        <v>615301</v>
      </c>
      <c r="KN541" t="str">
        <f>"615401"</f>
        <v>615401</v>
      </c>
      <c r="KO541" t="str">
        <f>"615501"</f>
        <v>615501</v>
      </c>
      <c r="KP541" t="str">
        <f>"615502"</f>
        <v>615502</v>
      </c>
      <c r="KQ541" t="str">
        <f>"616101"</f>
        <v>616101</v>
      </c>
      <c r="KR541" t="str">
        <f>"616201"</f>
        <v>616201</v>
      </c>
      <c r="KS541" t="str">
        <f>"616301"</f>
        <v>616301</v>
      </c>
      <c r="KT541" t="str">
        <f>"616401"</f>
        <v>616401</v>
      </c>
      <c r="KU541" t="str">
        <f>"620000"</f>
        <v>620000</v>
      </c>
      <c r="KV541" t="str">
        <f>"621101"</f>
        <v>621101</v>
      </c>
      <c r="KW541" t="str">
        <f>"621102"</f>
        <v>621102</v>
      </c>
      <c r="KX541" t="str">
        <f>"621103"</f>
        <v>621103</v>
      </c>
      <c r="KY541" t="str">
        <f>"621104"</f>
        <v>621104</v>
      </c>
      <c r="KZ541" t="str">
        <f>"621201"</f>
        <v>621201</v>
      </c>
      <c r="LA541" t="str">
        <f>"621202"</f>
        <v>621202</v>
      </c>
      <c r="LB541" t="str">
        <f>"621301"</f>
        <v>621301</v>
      </c>
      <c r="LC541" t="str">
        <f>"621302"</f>
        <v>621302</v>
      </c>
      <c r="LD541" t="str">
        <f>"622103"</f>
        <v>622103</v>
      </c>
      <c r="LE541" t="str">
        <f>"622104"</f>
        <v>622104</v>
      </c>
      <c r="LF541" t="str">
        <f>"622105"</f>
        <v>622105</v>
      </c>
      <c r="LG541" t="str">
        <f>"622106"</f>
        <v>622106</v>
      </c>
      <c r="LH541" t="str">
        <f>"622107"</f>
        <v>622107</v>
      </c>
      <c r="LI541" t="str">
        <f>"622201"</f>
        <v>622201</v>
      </c>
      <c r="LJ541" t="str">
        <f>"623101"</f>
        <v>623101</v>
      </c>
      <c r="LK541" t="str">
        <f>"630000"</f>
        <v>630000</v>
      </c>
      <c r="LL541" t="str">
        <f>"631001"</f>
        <v>631001</v>
      </c>
      <c r="LM541" t="str">
        <f>"631101"</f>
        <v>631101</v>
      </c>
      <c r="LN541" t="str">
        <f>"631201"</f>
        <v>631201</v>
      </c>
      <c r="LO541" t="str">
        <f>"631202"</f>
        <v>631202</v>
      </c>
      <c r="LP541" t="str">
        <f>"631401"</f>
        <v>631401</v>
      </c>
      <c r="LQ541" t="str">
        <f>"631402"</f>
        <v>631402</v>
      </c>
      <c r="LR541" t="str">
        <f>"633101"</f>
        <v>633101</v>
      </c>
      <c r="LS541" t="str">
        <f>"633401"</f>
        <v>633401</v>
      </c>
      <c r="LT541" t="str">
        <f>"633403"</f>
        <v>633403</v>
      </c>
      <c r="LU541" t="str">
        <f>"633404"</f>
        <v>633404</v>
      </c>
      <c r="LV541" t="str">
        <f>"633501"</f>
        <v>633501</v>
      </c>
      <c r="LW541" t="str">
        <f>"633602"</f>
        <v>633602</v>
      </c>
      <c r="LX541" t="str">
        <f>"633603"</f>
        <v>633603</v>
      </c>
      <c r="LY541" t="str">
        <f>"633605"</f>
        <v>633605</v>
      </c>
      <c r="LZ541" t="str">
        <f>"633606"</f>
        <v>633606</v>
      </c>
      <c r="MA541" t="str">
        <f>"633607"</f>
        <v>633607</v>
      </c>
      <c r="MB541" t="str">
        <f>"633608"</f>
        <v>633608</v>
      </c>
      <c r="MC541" t="str">
        <f>"633701"</f>
        <v>633701</v>
      </c>
      <c r="MD541" t="str">
        <f>"633702"</f>
        <v>633702</v>
      </c>
      <c r="ME541" t="str">
        <f>"633901"</f>
        <v>633901</v>
      </c>
      <c r="MF541" t="str">
        <f>"634101"</f>
        <v>634101</v>
      </c>
      <c r="MG541" t="str">
        <f>"636101"</f>
        <v>636101</v>
      </c>
      <c r="MH541" t="str">
        <f>"636301"</f>
        <v>636301</v>
      </c>
      <c r="MI541" t="str">
        <f>"636302"</f>
        <v>636302</v>
      </c>
      <c r="MJ541" t="str">
        <f>"636303"</f>
        <v>636303</v>
      </c>
      <c r="MK541" t="str">
        <f>"640000"</f>
        <v>640000</v>
      </c>
      <c r="ML541" t="str">
        <f>"641101"</f>
        <v>641101</v>
      </c>
      <c r="MM541" t="str">
        <f>"641102"</f>
        <v>641102</v>
      </c>
      <c r="MN541" t="str">
        <f>"641103"</f>
        <v>641103</v>
      </c>
      <c r="MO541" t="str">
        <f>"641104"</f>
        <v>641104</v>
      </c>
      <c r="MP541" t="str">
        <f>"641105"</f>
        <v>641105</v>
      </c>
      <c r="MQ541" t="str">
        <f>"641106"</f>
        <v>641106</v>
      </c>
      <c r="MR541" t="str">
        <f>"641108"</f>
        <v>641108</v>
      </c>
      <c r="MS541" t="str">
        <f>"641109"</f>
        <v>641109</v>
      </c>
      <c r="MT541" t="str">
        <f>"641301"</f>
        <v>641301</v>
      </c>
      <c r="MU541" t="str">
        <f>"641302"</f>
        <v>641302</v>
      </c>
      <c r="MV541" t="str">
        <f>"641401"</f>
        <v>641401</v>
      </c>
      <c r="MW541" t="str">
        <f>"641402"</f>
        <v>641402</v>
      </c>
      <c r="MX541" t="str">
        <f>"641403"</f>
        <v>641403</v>
      </c>
      <c r="MY541" t="str">
        <f>"641404"</f>
        <v>641404</v>
      </c>
      <c r="MZ541" t="str">
        <f>"641405"</f>
        <v>641405</v>
      </c>
      <c r="NA541" t="str">
        <f>"641501"</f>
        <v>641501</v>
      </c>
      <c r="NB541" t="str">
        <f>"641601"</f>
        <v>641601</v>
      </c>
      <c r="NC541" t="str">
        <f>"641801"</f>
        <v>641801</v>
      </c>
      <c r="ND541" t="str">
        <f>"641901"</f>
        <v>641901</v>
      </c>
      <c r="NE541" t="str">
        <f>"645101"</f>
        <v>645101</v>
      </c>
      <c r="NF541" t="str">
        <f>"645102"</f>
        <v>645102</v>
      </c>
      <c r="NG541" t="str">
        <f>"645103"</f>
        <v>645103</v>
      </c>
      <c r="NH541" t="str">
        <f>"645104"</f>
        <v>645104</v>
      </c>
      <c r="NI541" t="str">
        <f>"645201"</f>
        <v>645201</v>
      </c>
      <c r="NJ541" t="str">
        <f>"645202"</f>
        <v>645202</v>
      </c>
      <c r="NK541" t="str">
        <f>"645203"</f>
        <v>645203</v>
      </c>
      <c r="NL541" t="str">
        <f>"645204"</f>
        <v>645204</v>
      </c>
      <c r="NM541" t="str">
        <f>"645205"</f>
        <v>645205</v>
      </c>
      <c r="NN541" t="str">
        <f>"645301"</f>
        <v>645301</v>
      </c>
      <c r="NO541" t="str">
        <f>"645302"</f>
        <v>645302</v>
      </c>
      <c r="NP541" t="str">
        <f>"645401"</f>
        <v>645401</v>
      </c>
      <c r="NQ541" t="str">
        <f>"710000"</f>
        <v>710000</v>
      </c>
      <c r="NR541" t="str">
        <f>"711101"</f>
        <v>711101</v>
      </c>
      <c r="NS541" t="str">
        <f>"711102"</f>
        <v>711102</v>
      </c>
      <c r="NT541" t="str">
        <f>"711201"</f>
        <v>711201</v>
      </c>
      <c r="NU541" t="str">
        <f>"712101"</f>
        <v>712101</v>
      </c>
      <c r="NV541" t="str">
        <f>"712103"</f>
        <v>712103</v>
      </c>
      <c r="NW541" t="str">
        <f>"712105"</f>
        <v>712105</v>
      </c>
      <c r="NX541" t="str">
        <f>"712106"</f>
        <v>712106</v>
      </c>
      <c r="NY541" t="str">
        <f>"712107"</f>
        <v>712107</v>
      </c>
      <c r="NZ541" t="str">
        <f>"712108"</f>
        <v>712108</v>
      </c>
      <c r="OA541" t="str">
        <f>"712109"</f>
        <v>712109</v>
      </c>
      <c r="OB541" t="str">
        <f>"712201"</f>
        <v>712201</v>
      </c>
      <c r="OC541" t="str">
        <f>"712301"</f>
        <v>712301</v>
      </c>
      <c r="OD541" t="str">
        <f>"713101"</f>
        <v>713101</v>
      </c>
      <c r="OE541" t="str">
        <f>"713201"</f>
        <v>713201</v>
      </c>
      <c r="OF541" t="str">
        <f>"713202"</f>
        <v>713202</v>
      </c>
      <c r="OG541" t="str">
        <f>"713203"</f>
        <v>713203</v>
      </c>
      <c r="OH541" t="str">
        <f>"713302"</f>
        <v>713302</v>
      </c>
      <c r="OI541" t="str">
        <f>"713401"</f>
        <v>713401</v>
      </c>
      <c r="OJ541" t="str">
        <f>"713701"</f>
        <v>713701</v>
      </c>
      <c r="OK541" t="str">
        <f>"714101"</f>
        <v>714101</v>
      </c>
      <c r="OL541" t="str">
        <f>"714102"</f>
        <v>714102</v>
      </c>
      <c r="OM541" t="str">
        <f>"715101"</f>
        <v>715101</v>
      </c>
      <c r="ON541" t="str">
        <f>"715102"</f>
        <v>715102</v>
      </c>
      <c r="OO541" t="str">
        <f>"716101"</f>
        <v>716101</v>
      </c>
      <c r="OP541" t="str">
        <f>"716102"</f>
        <v>716102</v>
      </c>
      <c r="OQ541" t="str">
        <f>"716103"</f>
        <v>716103</v>
      </c>
      <c r="OR541" t="str">
        <f>"716201"</f>
        <v>716201</v>
      </c>
      <c r="OS541" t="str">
        <f>"717101"</f>
        <v>717101</v>
      </c>
      <c r="OT541" t="str">
        <f>"717201"</f>
        <v>717201</v>
      </c>
      <c r="OU541" t="str">
        <f>"717202"</f>
        <v>717202</v>
      </c>
      <c r="OV541" t="str">
        <f>"717204"</f>
        <v>717204</v>
      </c>
      <c r="OW541" t="str">
        <f>"717301"</f>
        <v>717301</v>
      </c>
      <c r="OX541" t="str">
        <f>"718101"</f>
        <v>718101</v>
      </c>
      <c r="OY541" t="str">
        <f>"718102"</f>
        <v>718102</v>
      </c>
      <c r="OZ541" t="str">
        <f>"719101"</f>
        <v>719101</v>
      </c>
      <c r="PA541" t="str">
        <f>"719102"</f>
        <v>719102</v>
      </c>
      <c r="PB541" t="str">
        <f>"719201"</f>
        <v>719201</v>
      </c>
      <c r="PC541" t="str">
        <f>"719202"</f>
        <v>719202</v>
      </c>
      <c r="PD541" t="str">
        <f>"810000"</f>
        <v>810000</v>
      </c>
      <c r="PE541" t="str">
        <f>"811101"</f>
        <v>811101</v>
      </c>
      <c r="PF541" t="str">
        <f>"811201"</f>
        <v>811201</v>
      </c>
      <c r="PG541" t="str">
        <f>"811301"</f>
        <v>811301</v>
      </c>
      <c r="PH541" t="str">
        <f>"811302"</f>
        <v>811302</v>
      </c>
      <c r="PI541" t="str">
        <f>"811401"</f>
        <v>811401</v>
      </c>
      <c r="PJ541" t="str">
        <f>"811403"</f>
        <v>811403</v>
      </c>
      <c r="PK541" t="str">
        <f>"811501"</f>
        <v>811501</v>
      </c>
      <c r="PL541" t="str">
        <f>"811503"</f>
        <v>811503</v>
      </c>
      <c r="PM541" t="str">
        <f>"811504"</f>
        <v>811504</v>
      </c>
      <c r="PN541" t="str">
        <f>"811505"</f>
        <v>811505</v>
      </c>
      <c r="PO541" t="str">
        <f>"811506"</f>
        <v>811506</v>
      </c>
      <c r="PP541" t="str">
        <f>"811507"</f>
        <v>811507</v>
      </c>
      <c r="PQ541" t="str">
        <f>"811508"</f>
        <v>811508</v>
      </c>
      <c r="PR541" t="str">
        <f>"811509"</f>
        <v>811509</v>
      </c>
      <c r="PS541" t="str">
        <f>"811510"</f>
        <v>811510</v>
      </c>
      <c r="PT541" t="str">
        <f>"811601"</f>
        <v>811601</v>
      </c>
      <c r="PU541" t="str">
        <f>"811701"</f>
        <v>811701</v>
      </c>
      <c r="PV541" t="str">
        <f>"811901"</f>
        <v>811901</v>
      </c>
      <c r="PW541" t="str">
        <f>"812101"</f>
        <v>812101</v>
      </c>
      <c r="PX541" t="str">
        <f>"812201"</f>
        <v>812201</v>
      </c>
      <c r="PY541" t="str">
        <f>"812202"</f>
        <v>812202</v>
      </c>
      <c r="PZ541" t="str">
        <f>"812203"</f>
        <v>812203</v>
      </c>
      <c r="QA541" t="str">
        <f>"813101"</f>
        <v>813101</v>
      </c>
      <c r="QB541" t="str">
        <f>"814201"</f>
        <v>814201</v>
      </c>
      <c r="QC541" t="str">
        <f>"814202"</f>
        <v>814202</v>
      </c>
      <c r="QD541" t="str">
        <f>"814203"</f>
        <v>814203</v>
      </c>
      <c r="QE541" t="str">
        <f>"814204"</f>
        <v>814204</v>
      </c>
      <c r="QF541" t="str">
        <f>"814205"</f>
        <v>814205</v>
      </c>
      <c r="QG541" t="str">
        <f>"814301"</f>
        <v>814301</v>
      </c>
      <c r="QH541" t="str">
        <f>"814401"</f>
        <v>814401</v>
      </c>
      <c r="QI541" t="str">
        <f>"814501"</f>
        <v>814501</v>
      </c>
      <c r="QJ541" t="str">
        <f>"815100"</f>
        <v>815100</v>
      </c>
      <c r="QK541" t="str">
        <f>"815101"</f>
        <v>815101</v>
      </c>
      <c r="QL541" t="str">
        <f>"815102"</f>
        <v>815102</v>
      </c>
      <c r="QM541" t="str">
        <f>"815103"</f>
        <v>815103</v>
      </c>
      <c r="QN541" t="str">
        <f>"815104"</f>
        <v>815104</v>
      </c>
      <c r="QO541" t="str">
        <f>"816101"</f>
        <v>816101</v>
      </c>
      <c r="QP541" t="str">
        <f>"816201"</f>
        <v>816201</v>
      </c>
      <c r="QQ541" t="str">
        <f>"817101"</f>
        <v>817101</v>
      </c>
      <c r="QR541" t="str">
        <f>"817202"</f>
        <v>817202</v>
      </c>
      <c r="QS541" t="str">
        <f>"817203"</f>
        <v>817203</v>
      </c>
      <c r="QT541" t="str">
        <f>"818101"</f>
        <v>818101</v>
      </c>
      <c r="QU541" t="str">
        <f>"818102"</f>
        <v>818102</v>
      </c>
      <c r="QV541" t="str">
        <f>"818104"</f>
        <v>818104</v>
      </c>
      <c r="QW541" t="str">
        <f>"818201"</f>
        <v>818201</v>
      </c>
      <c r="QX541" t="str">
        <f>"819101"</f>
        <v>819101</v>
      </c>
      <c r="QY541" t="str">
        <f>"819301"</f>
        <v>819301</v>
      </c>
    </row>
  </sheetData>
  <autoFilter ref="A1:RB541" xr:uid="{00000000-0009-0000-0000-000000000000}">
    <filterColumn colId="9">
      <filters>
        <filter val="文庫"/>
      </filters>
    </filterColumn>
  </autoFilter>
  <sortState xmlns:xlrd2="http://schemas.microsoft.com/office/spreadsheetml/2017/richdata2" ref="A1:RB541">
    <sortCondition descending="1" ref="Q1:Q541"/>
  </sortState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QY586"/>
  <sheetViews>
    <sheetView workbookViewId="0">
      <selection activeCell="E5" sqref="E5"/>
    </sheetView>
  </sheetViews>
  <sheetFormatPr defaultRowHeight="18.75" x14ac:dyDescent="0.4"/>
  <sheetData>
    <row r="1" spans="1:467" x14ac:dyDescent="0.4">
      <c r="A1" t="s">
        <v>0</v>
      </c>
    </row>
    <row r="2" spans="1:467" x14ac:dyDescent="0.4">
      <c r="A2" t="s">
        <v>1</v>
      </c>
      <c r="B2" t="s">
        <v>1850</v>
      </c>
    </row>
    <row r="3" spans="1:467" x14ac:dyDescent="0.4">
      <c r="A3" t="s">
        <v>2</v>
      </c>
      <c r="B3" t="s">
        <v>3</v>
      </c>
    </row>
    <row r="4" spans="1:467" x14ac:dyDescent="0.4">
      <c r="A4" t="s">
        <v>4</v>
      </c>
      <c r="B4">
        <v>450</v>
      </c>
    </row>
    <row r="5" spans="1:467" x14ac:dyDescent="0.4">
      <c r="A5" t="s">
        <v>5</v>
      </c>
      <c r="B5" t="s">
        <v>6</v>
      </c>
    </row>
    <row r="7" spans="1:467" x14ac:dyDescent="0.4">
      <c r="R7" t="str">
        <f>"110000"</f>
        <v>110000</v>
      </c>
      <c r="S7" t="str">
        <f>"111101"</f>
        <v>111101</v>
      </c>
      <c r="T7" t="str">
        <f>"111102"</f>
        <v>111102</v>
      </c>
      <c r="U7" t="str">
        <f>"111103"</f>
        <v>111103</v>
      </c>
      <c r="V7" t="str">
        <f>"111104"</f>
        <v>111104</v>
      </c>
      <c r="W7" t="str">
        <f>"111201"</f>
        <v>111201</v>
      </c>
      <c r="X7" t="str">
        <f>"111202"</f>
        <v>111202</v>
      </c>
      <c r="Y7" t="str">
        <f>"111301"</f>
        <v>111301</v>
      </c>
      <c r="Z7" t="str">
        <f>"111401"</f>
        <v>111401</v>
      </c>
      <c r="AA7" t="str">
        <f>"111501"</f>
        <v>111501</v>
      </c>
      <c r="AB7" t="str">
        <f>"113101"</f>
        <v>113101</v>
      </c>
      <c r="AC7" t="str">
        <f>"113201"</f>
        <v>113201</v>
      </c>
      <c r="AD7" t="str">
        <f>"114101"</f>
        <v>114101</v>
      </c>
      <c r="AE7" t="str">
        <f>"114201"</f>
        <v>114201</v>
      </c>
      <c r="AF7" t="str">
        <f>"114301"</f>
        <v>114301</v>
      </c>
      <c r="AG7" t="str">
        <f>"114401"</f>
        <v>114401</v>
      </c>
      <c r="AH7" t="str">
        <f>"115101"</f>
        <v>115101</v>
      </c>
      <c r="AI7" t="str">
        <f>"115201"</f>
        <v>115201</v>
      </c>
      <c r="AJ7" t="str">
        <f>"115301"</f>
        <v>115301</v>
      </c>
      <c r="AK7" t="str">
        <f>"115401"</f>
        <v>115401</v>
      </c>
      <c r="AL7" t="str">
        <f>"116101"</f>
        <v>116101</v>
      </c>
      <c r="AM7" t="str">
        <f>"116201"</f>
        <v>116201</v>
      </c>
      <c r="AN7" t="str">
        <f>"116301"</f>
        <v>116301</v>
      </c>
      <c r="AO7" t="str">
        <f>"210000"</f>
        <v>210000</v>
      </c>
      <c r="AP7" t="str">
        <f>"211001"</f>
        <v>211001</v>
      </c>
      <c r="AQ7" t="str">
        <f>"211002"</f>
        <v>211002</v>
      </c>
      <c r="AR7" t="str">
        <f>"211003"</f>
        <v>211003</v>
      </c>
      <c r="AS7" t="str">
        <f>"211004"</f>
        <v>211004</v>
      </c>
      <c r="AT7" t="str">
        <f>"211005"</f>
        <v>211005</v>
      </c>
      <c r="AU7" t="str">
        <f>"211006"</f>
        <v>211006</v>
      </c>
      <c r="AV7" t="str">
        <f>"211101"</f>
        <v>211101</v>
      </c>
      <c r="AW7" t="str">
        <f>"211102"</f>
        <v>211102</v>
      </c>
      <c r="AX7" t="str">
        <f>"211104"</f>
        <v>211104</v>
      </c>
      <c r="AY7" t="str">
        <f>"211105"</f>
        <v>211105</v>
      </c>
      <c r="AZ7" t="str">
        <f>"211115"</f>
        <v>211115</v>
      </c>
      <c r="BA7" t="str">
        <f>"211201"</f>
        <v>211201</v>
      </c>
      <c r="BB7" t="str">
        <f>"212101"</f>
        <v>212101</v>
      </c>
      <c r="BC7" t="str">
        <f>"212201"</f>
        <v>212201</v>
      </c>
      <c r="BD7" t="str">
        <f>"212301"</f>
        <v>212301</v>
      </c>
      <c r="BE7" t="str">
        <f>"213101"</f>
        <v>213101</v>
      </c>
      <c r="BF7" t="str">
        <f>"213102"</f>
        <v>213102</v>
      </c>
      <c r="BG7" t="str">
        <f>"214101"</f>
        <v>214101</v>
      </c>
      <c r="BH7" t="str">
        <f>"214102"</f>
        <v>214102</v>
      </c>
      <c r="BI7" t="str">
        <f>"214103"</f>
        <v>214103</v>
      </c>
      <c r="BJ7" t="str">
        <f>"214104"</f>
        <v>214104</v>
      </c>
      <c r="BK7" t="str">
        <f>"214105"</f>
        <v>214105</v>
      </c>
      <c r="BL7" t="str">
        <f>"215101"</f>
        <v>215101</v>
      </c>
      <c r="BM7" t="str">
        <f>"215102"</f>
        <v>215102</v>
      </c>
      <c r="BN7" t="str">
        <f>"215103"</f>
        <v>215103</v>
      </c>
      <c r="BO7" t="str">
        <f>"215104"</f>
        <v>215104</v>
      </c>
      <c r="BP7" t="str">
        <f>"215105"</f>
        <v>215105</v>
      </c>
      <c r="BQ7" t="str">
        <f>"215106"</f>
        <v>215106</v>
      </c>
      <c r="BR7" t="str">
        <f>"215107"</f>
        <v>215107</v>
      </c>
      <c r="BS7" t="str">
        <f>"215201"</f>
        <v>215201</v>
      </c>
      <c r="BT7" t="str">
        <f>"215202"</f>
        <v>215202</v>
      </c>
      <c r="BU7" t="str">
        <f>"215203"</f>
        <v>215203</v>
      </c>
      <c r="BV7" t="str">
        <f>"215301"</f>
        <v>215301</v>
      </c>
      <c r="BW7" t="str">
        <f>"215302"</f>
        <v>215302</v>
      </c>
      <c r="BX7" t="str">
        <f>"215401"</f>
        <v>215401</v>
      </c>
      <c r="BY7" t="str">
        <f>"215402"</f>
        <v>215402</v>
      </c>
      <c r="BZ7" t="str">
        <f>"215501"</f>
        <v>215501</v>
      </c>
      <c r="CA7" t="str">
        <f>"215601"</f>
        <v>215601</v>
      </c>
      <c r="CB7" t="str">
        <f>"215602"</f>
        <v>215602</v>
      </c>
      <c r="CC7" t="str">
        <f>"217101"</f>
        <v>217101</v>
      </c>
      <c r="CD7" t="str">
        <f>"218101"</f>
        <v>218101</v>
      </c>
      <c r="CE7" t="str">
        <f>"218102"</f>
        <v>218102</v>
      </c>
      <c r="CF7" t="str">
        <f>"310000"</f>
        <v>310000</v>
      </c>
      <c r="CG7" t="str">
        <f>"311001"</f>
        <v>311001</v>
      </c>
      <c r="CH7" t="str">
        <f>"321101"</f>
        <v>321101</v>
      </c>
      <c r="CI7" t="str">
        <f>"321102"</f>
        <v>321102</v>
      </c>
      <c r="CJ7" t="str">
        <f>"321103"</f>
        <v>321103</v>
      </c>
      <c r="CK7" t="str">
        <f>"321104"</f>
        <v>321104</v>
      </c>
      <c r="CL7" t="str">
        <f>"321105"</f>
        <v>321105</v>
      </c>
      <c r="CM7" t="str">
        <f>"321108"</f>
        <v>321108</v>
      </c>
      <c r="CN7" t="str">
        <f>"321109"</f>
        <v>321109</v>
      </c>
      <c r="CO7" t="str">
        <f>"321111"</f>
        <v>321111</v>
      </c>
      <c r="CP7" t="str">
        <f>"321112"</f>
        <v>321112</v>
      </c>
      <c r="CQ7" t="str">
        <f>"321201"</f>
        <v>321201</v>
      </c>
      <c r="CR7" t="str">
        <f>"321202"</f>
        <v>321202</v>
      </c>
      <c r="CS7" t="str">
        <f>"321203"</f>
        <v>321203</v>
      </c>
      <c r="CT7" t="str">
        <f>"321204"</f>
        <v>321204</v>
      </c>
      <c r="CU7" t="str">
        <f>"321205"</f>
        <v>321205</v>
      </c>
      <c r="CV7" t="str">
        <f>"321206"</f>
        <v>321206</v>
      </c>
      <c r="CW7" t="str">
        <f>"321208"</f>
        <v>321208</v>
      </c>
      <c r="CX7" t="str">
        <f>"321301"</f>
        <v>321301</v>
      </c>
      <c r="CY7" t="str">
        <f>"321302"</f>
        <v>321302</v>
      </c>
      <c r="CZ7" t="str">
        <f>"321303"</f>
        <v>321303</v>
      </c>
      <c r="DA7" t="str">
        <f>"321304"</f>
        <v>321304</v>
      </c>
      <c r="DB7" t="str">
        <f>"325101"</f>
        <v>325101</v>
      </c>
      <c r="DC7" t="str">
        <f>"325102"</f>
        <v>325102</v>
      </c>
      <c r="DD7" t="str">
        <f>"325103"</f>
        <v>325103</v>
      </c>
      <c r="DE7" t="str">
        <f>"325104"</f>
        <v>325104</v>
      </c>
      <c r="DF7" t="str">
        <f>"325105"</f>
        <v>325105</v>
      </c>
      <c r="DG7" t="str">
        <f>"325106"</f>
        <v>325106</v>
      </c>
      <c r="DH7" t="str">
        <f>"325107"</f>
        <v>325107</v>
      </c>
      <c r="DI7" t="str">
        <f>"325108"</f>
        <v>325108</v>
      </c>
      <c r="DJ7" t="str">
        <f>"331101"</f>
        <v>331101</v>
      </c>
      <c r="DK7" t="str">
        <f>"331103"</f>
        <v>331103</v>
      </c>
      <c r="DL7" t="str">
        <f>"331104"</f>
        <v>331104</v>
      </c>
      <c r="DM7" t="str">
        <f>"331105"</f>
        <v>331105</v>
      </c>
      <c r="DN7" t="str">
        <f>"331201"</f>
        <v>331201</v>
      </c>
      <c r="DO7" t="str">
        <f>"331202"</f>
        <v>331202</v>
      </c>
      <c r="DP7" t="str">
        <f>"331301"</f>
        <v>331301</v>
      </c>
      <c r="DQ7" t="str">
        <f>"331302"</f>
        <v>331302</v>
      </c>
      <c r="DR7" t="str">
        <f>"331401"</f>
        <v>331401</v>
      </c>
      <c r="DS7" t="str">
        <f>"331402"</f>
        <v>331402</v>
      </c>
      <c r="DT7" t="str">
        <f>"331501"</f>
        <v>331501</v>
      </c>
      <c r="DU7" t="str">
        <f>"331503"</f>
        <v>331503</v>
      </c>
      <c r="DV7" t="str">
        <f>"331505"</f>
        <v>331505</v>
      </c>
      <c r="DW7" t="str">
        <f>"331701"</f>
        <v>331701</v>
      </c>
      <c r="DX7" t="str">
        <f>"331702"</f>
        <v>331702</v>
      </c>
      <c r="DY7" t="str">
        <f>"336101"</f>
        <v>336101</v>
      </c>
      <c r="DZ7" t="str">
        <f>"336102"</f>
        <v>336102</v>
      </c>
      <c r="EA7" t="str">
        <f>"336104"</f>
        <v>336104</v>
      </c>
      <c r="EB7" t="str">
        <f>"336201"</f>
        <v>336201</v>
      </c>
      <c r="EC7" t="str">
        <f>"336301"</f>
        <v>336301</v>
      </c>
      <c r="ED7" t="str">
        <f>"341101"</f>
        <v>341101</v>
      </c>
      <c r="EE7" t="str">
        <f>"341102"</f>
        <v>341102</v>
      </c>
      <c r="EF7" t="str">
        <f>"341201"</f>
        <v>341201</v>
      </c>
      <c r="EG7" t="str">
        <f>"341202"</f>
        <v>341202</v>
      </c>
      <c r="EH7" t="str">
        <f>"341301"</f>
        <v>341301</v>
      </c>
      <c r="EI7" t="str">
        <f>"341302"</f>
        <v>341302</v>
      </c>
      <c r="EJ7" t="str">
        <f>"341304"</f>
        <v>341304</v>
      </c>
      <c r="EK7" t="str">
        <f>"341305"</f>
        <v>341305</v>
      </c>
      <c r="EL7" t="str">
        <f>"341306"</f>
        <v>341306</v>
      </c>
      <c r="EM7" t="str">
        <f>"341401"</f>
        <v>341401</v>
      </c>
      <c r="EN7" t="str">
        <f>"341501"</f>
        <v>341501</v>
      </c>
      <c r="EO7" t="str">
        <f>"341604"</f>
        <v>341604</v>
      </c>
      <c r="EP7" t="str">
        <f>"341801"</f>
        <v>341801</v>
      </c>
      <c r="EQ7" t="str">
        <f>"341901"</f>
        <v>341901</v>
      </c>
      <c r="ER7" t="str">
        <f>"345101"</f>
        <v>345101</v>
      </c>
      <c r="ES7" t="str">
        <f>"345301"</f>
        <v>345301</v>
      </c>
      <c r="ET7" t="str">
        <f>"345401"</f>
        <v>345401</v>
      </c>
      <c r="EU7" t="str">
        <f>"345402"</f>
        <v>345402</v>
      </c>
      <c r="EV7" t="str">
        <f>"345501"</f>
        <v>345501</v>
      </c>
      <c r="EW7" t="str">
        <f>"345502"</f>
        <v>345502</v>
      </c>
      <c r="EX7" t="str">
        <f>"345601"</f>
        <v>345601</v>
      </c>
      <c r="EY7" t="str">
        <f>"345801"</f>
        <v>345801</v>
      </c>
      <c r="EZ7" t="str">
        <f>"345802"</f>
        <v>345802</v>
      </c>
      <c r="FA7" t="str">
        <f>"351101"</f>
        <v>351101</v>
      </c>
      <c r="FB7" t="str">
        <f>"351201"</f>
        <v>351201</v>
      </c>
      <c r="FC7" t="str">
        <f>"351202"</f>
        <v>351202</v>
      </c>
      <c r="FD7" t="str">
        <f>"351301"</f>
        <v>351301</v>
      </c>
      <c r="FE7" t="str">
        <f>"351401"</f>
        <v>351401</v>
      </c>
      <c r="FF7" t="str">
        <f>"351501"</f>
        <v>351501</v>
      </c>
      <c r="FG7" t="str">
        <f>"351502"</f>
        <v>351502</v>
      </c>
      <c r="FH7" t="str">
        <f>"351601"</f>
        <v>351601</v>
      </c>
      <c r="FI7" t="str">
        <f>"351602"</f>
        <v>351602</v>
      </c>
      <c r="FJ7" t="str">
        <f>"351603"</f>
        <v>351603</v>
      </c>
      <c r="FK7" t="str">
        <f>"351605"</f>
        <v>351605</v>
      </c>
      <c r="FL7" t="str">
        <f>"351701"</f>
        <v>351701</v>
      </c>
      <c r="FM7" t="str">
        <f>"357101"</f>
        <v>357101</v>
      </c>
      <c r="FN7" t="str">
        <f>"357102"</f>
        <v>357102</v>
      </c>
      <c r="FO7" t="str">
        <f>"357201"</f>
        <v>357201</v>
      </c>
      <c r="FP7" t="str">
        <f>"357301"</f>
        <v>357301</v>
      </c>
      <c r="FQ7" t="str">
        <f>"357302"</f>
        <v>357302</v>
      </c>
      <c r="FR7" t="str">
        <f>"357401"</f>
        <v>357401</v>
      </c>
      <c r="FS7" t="str">
        <f>"357501"</f>
        <v>357501</v>
      </c>
      <c r="FT7" t="str">
        <f>"361101"</f>
        <v>361101</v>
      </c>
      <c r="FU7" t="str">
        <f>"361102"</f>
        <v>361102</v>
      </c>
      <c r="FV7" t="str">
        <f>"361201"</f>
        <v>361201</v>
      </c>
      <c r="FW7" t="str">
        <f>"361202"</f>
        <v>361202</v>
      </c>
      <c r="FX7" t="str">
        <f>"361301"</f>
        <v>361301</v>
      </c>
      <c r="FY7" t="str">
        <f>"361401"</f>
        <v>361401</v>
      </c>
      <c r="FZ7" t="str">
        <f>"361501"</f>
        <v>361501</v>
      </c>
      <c r="GA7" t="str">
        <f>"361502"</f>
        <v>361502</v>
      </c>
      <c r="GB7" t="str">
        <f>"361601"</f>
        <v>361601</v>
      </c>
      <c r="GC7" t="str">
        <f>"361701"</f>
        <v>361701</v>
      </c>
      <c r="GD7" t="str">
        <f>"361801"</f>
        <v>361801</v>
      </c>
      <c r="GE7" t="str">
        <f>"361901"</f>
        <v>361901</v>
      </c>
      <c r="GF7" t="str">
        <f>"362101"</f>
        <v>362101</v>
      </c>
      <c r="GG7" t="str">
        <f>"362401"</f>
        <v>362401</v>
      </c>
      <c r="GH7" t="str">
        <f>"362501"</f>
        <v>362501</v>
      </c>
      <c r="GI7" t="str">
        <f>"371101"</f>
        <v>371101</v>
      </c>
      <c r="GJ7" t="str">
        <f>"371102"</f>
        <v>371102</v>
      </c>
      <c r="GK7" t="str">
        <f>"371103"</f>
        <v>371103</v>
      </c>
      <c r="GL7" t="str">
        <f>"371201"</f>
        <v>371201</v>
      </c>
      <c r="GM7" t="str">
        <f>"371301"</f>
        <v>371301</v>
      </c>
      <c r="GN7" t="str">
        <f>"372101"</f>
        <v>372101</v>
      </c>
      <c r="GO7" t="str">
        <f>"372102"</f>
        <v>372102</v>
      </c>
      <c r="GP7" t="str">
        <f>"372103"</f>
        <v>372103</v>
      </c>
      <c r="GQ7" t="str">
        <f>"372104"</f>
        <v>372104</v>
      </c>
      <c r="GR7" t="str">
        <f>"372105"</f>
        <v>372105</v>
      </c>
      <c r="GS7" t="str">
        <f>"372107"</f>
        <v>372107</v>
      </c>
      <c r="GT7" t="str">
        <f>"372201"</f>
        <v>372201</v>
      </c>
      <c r="GU7" t="str">
        <f>"372501"</f>
        <v>372501</v>
      </c>
      <c r="GV7" t="str">
        <f>"372601"</f>
        <v>372601</v>
      </c>
      <c r="GW7" t="str">
        <f>"372701"</f>
        <v>372701</v>
      </c>
      <c r="GX7" t="str">
        <f>"372801"</f>
        <v>372801</v>
      </c>
      <c r="GY7" t="str">
        <f>"373101"</f>
        <v>373101</v>
      </c>
      <c r="GZ7" t="str">
        <f>"373102"</f>
        <v>373102</v>
      </c>
      <c r="HA7" t="str">
        <f>"373201"</f>
        <v>373201</v>
      </c>
      <c r="HB7" t="str">
        <f>"373202"</f>
        <v>373202</v>
      </c>
      <c r="HC7" t="str">
        <f>"374101"</f>
        <v>374101</v>
      </c>
      <c r="HD7" t="str">
        <f>"374102"</f>
        <v>374102</v>
      </c>
      <c r="HE7" t="str">
        <f>"374103"</f>
        <v>374103</v>
      </c>
      <c r="HF7" t="str">
        <f>"374201"</f>
        <v>374201</v>
      </c>
      <c r="HG7" t="str">
        <f>"374401"</f>
        <v>374401</v>
      </c>
      <c r="HH7" t="str">
        <f>"374501"</f>
        <v>374501</v>
      </c>
      <c r="HI7" t="str">
        <f>"375101"</f>
        <v>375101</v>
      </c>
      <c r="HJ7" t="str">
        <f>"375102"</f>
        <v>375102</v>
      </c>
      <c r="HK7" t="str">
        <f>"375201"</f>
        <v>375201</v>
      </c>
      <c r="HL7" t="str">
        <f>"375202"</f>
        <v>375202</v>
      </c>
      <c r="HM7" t="str">
        <f>"376101"</f>
        <v>376101</v>
      </c>
      <c r="HN7" t="str">
        <f>"376102"</f>
        <v>376102</v>
      </c>
      <c r="HO7" t="str">
        <f>"376103"</f>
        <v>376103</v>
      </c>
      <c r="HP7" t="str">
        <f>"376201"</f>
        <v>376201</v>
      </c>
      <c r="HQ7" t="str">
        <f>"510000"</f>
        <v>510000</v>
      </c>
      <c r="HR7" t="str">
        <f>"511001"</f>
        <v>511001</v>
      </c>
      <c r="HS7" t="str">
        <f>"511002"</f>
        <v>511002</v>
      </c>
      <c r="HT7" t="str">
        <f>"511000"</f>
        <v>511000</v>
      </c>
      <c r="HU7" t="str">
        <f>"511101"</f>
        <v>511101</v>
      </c>
      <c r="HV7" t="str">
        <f>"511102"</f>
        <v>511102</v>
      </c>
      <c r="HW7" t="str">
        <f>"511103"</f>
        <v>511103</v>
      </c>
      <c r="HX7" t="str">
        <f>"511104"</f>
        <v>511104</v>
      </c>
      <c r="HY7" t="str">
        <f>"511201"</f>
        <v>511201</v>
      </c>
      <c r="HZ7" t="str">
        <f>"511202"</f>
        <v>511202</v>
      </c>
      <c r="IA7" t="str">
        <f>"511301"</f>
        <v>511301</v>
      </c>
      <c r="IB7" t="str">
        <f>"511302"</f>
        <v>511302</v>
      </c>
      <c r="IC7" t="str">
        <f>"511303"</f>
        <v>511303</v>
      </c>
      <c r="ID7" t="str">
        <f>"511401"</f>
        <v>511401</v>
      </c>
      <c r="IE7" t="str">
        <f>"511402"</f>
        <v>511402</v>
      </c>
      <c r="IF7" t="str">
        <f>"511601"</f>
        <v>511601</v>
      </c>
      <c r="IG7" t="str">
        <f>"511603"</f>
        <v>511603</v>
      </c>
      <c r="IH7" t="str">
        <f>"511701"</f>
        <v>511701</v>
      </c>
      <c r="II7" t="str">
        <f>"511702"</f>
        <v>511702</v>
      </c>
      <c r="IJ7" t="str">
        <f>"511901"</f>
        <v>511901</v>
      </c>
      <c r="IK7" t="str">
        <f>"513203"</f>
        <v>513203</v>
      </c>
      <c r="IL7" t="str">
        <f>"513204"</f>
        <v>513204</v>
      </c>
      <c r="IM7" t="str">
        <f>"513202"</f>
        <v>513202</v>
      </c>
      <c r="IN7" t="str">
        <f>"513301"</f>
        <v>513301</v>
      </c>
      <c r="IO7" t="str">
        <f>"513401"</f>
        <v>513401</v>
      </c>
      <c r="IP7" t="str">
        <f>"513402"</f>
        <v>513402</v>
      </c>
      <c r="IQ7" t="str">
        <f>"513403"</f>
        <v>513403</v>
      </c>
      <c r="IR7" t="str">
        <f>"513501"</f>
        <v>513501</v>
      </c>
      <c r="IS7" t="str">
        <f>"513601"</f>
        <v>513601</v>
      </c>
      <c r="IT7" t="str">
        <f>"515101"</f>
        <v>515101</v>
      </c>
      <c r="IU7" t="str">
        <f>"515102"</f>
        <v>515102</v>
      </c>
      <c r="IV7" t="str">
        <f>"516101"</f>
        <v>516101</v>
      </c>
      <c r="IW7" t="str">
        <f>"516102"</f>
        <v>516102</v>
      </c>
      <c r="IX7" t="str">
        <f>"516201"</f>
        <v>516201</v>
      </c>
      <c r="IY7" t="str">
        <f>"517101"</f>
        <v>517101</v>
      </c>
      <c r="IZ7" t="str">
        <f>"517102"</f>
        <v>517102</v>
      </c>
      <c r="JA7" t="str">
        <f>"517201"</f>
        <v>517201</v>
      </c>
      <c r="JB7" t="str">
        <f>"517301"</f>
        <v>517301</v>
      </c>
      <c r="JC7" t="str">
        <f>"517401"</f>
        <v>517401</v>
      </c>
      <c r="JD7" t="str">
        <f>"517501"</f>
        <v>517501</v>
      </c>
      <c r="JE7" t="str">
        <f>"610000"</f>
        <v>610000</v>
      </c>
      <c r="JF7" t="str">
        <f>"611101"</f>
        <v>611101</v>
      </c>
      <c r="JG7" t="str">
        <f>"611103"</f>
        <v>611103</v>
      </c>
      <c r="JH7" t="str">
        <f>"611104"</f>
        <v>611104</v>
      </c>
      <c r="JI7" t="str">
        <f>"611105"</f>
        <v>611105</v>
      </c>
      <c r="JJ7" t="str">
        <f>"611106"</f>
        <v>611106</v>
      </c>
      <c r="JK7" t="str">
        <f>"611107"</f>
        <v>611107</v>
      </c>
      <c r="JL7" t="str">
        <f>"611109"</f>
        <v>611109</v>
      </c>
      <c r="JM7" t="str">
        <f>"611201"</f>
        <v>611201</v>
      </c>
      <c r="JN7" t="str">
        <f>"611204"</f>
        <v>611204</v>
      </c>
      <c r="JO7" t="str">
        <f>"611205"</f>
        <v>611205</v>
      </c>
      <c r="JP7" t="str">
        <f>"611206"</f>
        <v>611206</v>
      </c>
      <c r="JQ7" t="str">
        <f>"611301"</f>
        <v>611301</v>
      </c>
      <c r="JR7" t="str">
        <f>"611303"</f>
        <v>611303</v>
      </c>
      <c r="JS7" t="str">
        <f>"611310"</f>
        <v>611310</v>
      </c>
      <c r="JT7" t="str">
        <f>"611311"</f>
        <v>611311</v>
      </c>
      <c r="JU7" t="str">
        <f>"611312"</f>
        <v>611312</v>
      </c>
      <c r="JV7" t="str">
        <f>"611313"</f>
        <v>611313</v>
      </c>
      <c r="JW7" t="str">
        <f>"611314"</f>
        <v>611314</v>
      </c>
      <c r="JX7" t="str">
        <f>"611401"</f>
        <v>611401</v>
      </c>
      <c r="JY7" t="str">
        <f>"611402"</f>
        <v>611402</v>
      </c>
      <c r="JZ7" t="str">
        <f>"611403"</f>
        <v>611403</v>
      </c>
      <c r="KA7" t="str">
        <f>"611404"</f>
        <v>611404</v>
      </c>
      <c r="KB7" t="str">
        <f>"611501"</f>
        <v>611501</v>
      </c>
      <c r="KC7" t="str">
        <f>"611502"</f>
        <v>611502</v>
      </c>
      <c r="KD7" t="str">
        <f>"611503"</f>
        <v>611503</v>
      </c>
      <c r="KE7" t="str">
        <f>"611601"</f>
        <v>611601</v>
      </c>
      <c r="KF7" t="str">
        <f>"611701"</f>
        <v>611701</v>
      </c>
      <c r="KG7" t="str">
        <f>"611901"</f>
        <v>611901</v>
      </c>
      <c r="KH7" t="str">
        <f>"612001"</f>
        <v>612001</v>
      </c>
      <c r="KI7" t="str">
        <f>"612101"</f>
        <v>612101</v>
      </c>
      <c r="KJ7" t="str">
        <f>"612201"</f>
        <v>612201</v>
      </c>
      <c r="KK7" t="str">
        <f>"615101"</f>
        <v>615101</v>
      </c>
      <c r="KL7" t="str">
        <f>"615201"</f>
        <v>615201</v>
      </c>
      <c r="KM7" t="str">
        <f>"615301"</f>
        <v>615301</v>
      </c>
      <c r="KN7" t="str">
        <f>"615401"</f>
        <v>615401</v>
      </c>
      <c r="KO7" t="str">
        <f>"615501"</f>
        <v>615501</v>
      </c>
      <c r="KP7" t="str">
        <f>"615502"</f>
        <v>615502</v>
      </c>
      <c r="KQ7" t="str">
        <f>"616101"</f>
        <v>616101</v>
      </c>
      <c r="KR7" t="str">
        <f>"616201"</f>
        <v>616201</v>
      </c>
      <c r="KS7" t="str">
        <f>"616301"</f>
        <v>616301</v>
      </c>
      <c r="KT7" t="str">
        <f>"616401"</f>
        <v>616401</v>
      </c>
      <c r="KU7" t="str">
        <f>"620000"</f>
        <v>620000</v>
      </c>
      <c r="KV7" t="str">
        <f>"621101"</f>
        <v>621101</v>
      </c>
      <c r="KW7" t="str">
        <f>"621102"</f>
        <v>621102</v>
      </c>
      <c r="KX7" t="str">
        <f>"621103"</f>
        <v>621103</v>
      </c>
      <c r="KY7" t="str">
        <f>"621104"</f>
        <v>621104</v>
      </c>
      <c r="KZ7" t="str">
        <f>"621201"</f>
        <v>621201</v>
      </c>
      <c r="LA7" t="str">
        <f>"621202"</f>
        <v>621202</v>
      </c>
      <c r="LB7" t="str">
        <f>"621301"</f>
        <v>621301</v>
      </c>
      <c r="LC7" t="str">
        <f>"621302"</f>
        <v>621302</v>
      </c>
      <c r="LD7" t="str">
        <f>"622103"</f>
        <v>622103</v>
      </c>
      <c r="LE7" t="str">
        <f>"622104"</f>
        <v>622104</v>
      </c>
      <c r="LF7" t="str">
        <f>"622105"</f>
        <v>622105</v>
      </c>
      <c r="LG7" t="str">
        <f>"622106"</f>
        <v>622106</v>
      </c>
      <c r="LH7" t="str">
        <f>"622107"</f>
        <v>622107</v>
      </c>
      <c r="LI7" t="str">
        <f>"622201"</f>
        <v>622201</v>
      </c>
      <c r="LJ7" t="str">
        <f>"623101"</f>
        <v>623101</v>
      </c>
      <c r="LK7" t="str">
        <f>"630000"</f>
        <v>630000</v>
      </c>
      <c r="LL7" t="str">
        <f>"631001"</f>
        <v>631001</v>
      </c>
      <c r="LM7" t="str">
        <f>"631101"</f>
        <v>631101</v>
      </c>
      <c r="LN7" t="str">
        <f>"631201"</f>
        <v>631201</v>
      </c>
      <c r="LO7" t="str">
        <f>"631202"</f>
        <v>631202</v>
      </c>
      <c r="LP7" t="str">
        <f>"631401"</f>
        <v>631401</v>
      </c>
      <c r="LQ7" t="str">
        <f>"631402"</f>
        <v>631402</v>
      </c>
      <c r="LR7" t="str">
        <f>"633101"</f>
        <v>633101</v>
      </c>
      <c r="LS7" t="str">
        <f>"633401"</f>
        <v>633401</v>
      </c>
      <c r="LT7" t="str">
        <f>"633403"</f>
        <v>633403</v>
      </c>
      <c r="LU7" t="str">
        <f>"633404"</f>
        <v>633404</v>
      </c>
      <c r="LV7" t="str">
        <f>"633501"</f>
        <v>633501</v>
      </c>
      <c r="LW7" t="str">
        <f>"633602"</f>
        <v>633602</v>
      </c>
      <c r="LX7" t="str">
        <f>"633603"</f>
        <v>633603</v>
      </c>
      <c r="LY7" t="str">
        <f>"633605"</f>
        <v>633605</v>
      </c>
      <c r="LZ7" t="str">
        <f>"633606"</f>
        <v>633606</v>
      </c>
      <c r="MA7" t="str">
        <f>"633607"</f>
        <v>633607</v>
      </c>
      <c r="MB7" t="str">
        <f>"633608"</f>
        <v>633608</v>
      </c>
      <c r="MC7" t="str">
        <f>"633701"</f>
        <v>633701</v>
      </c>
      <c r="MD7" t="str">
        <f>"633702"</f>
        <v>633702</v>
      </c>
      <c r="ME7" t="str">
        <f>"633901"</f>
        <v>633901</v>
      </c>
      <c r="MF7" t="str">
        <f>"634101"</f>
        <v>634101</v>
      </c>
      <c r="MG7" t="str">
        <f>"636101"</f>
        <v>636101</v>
      </c>
      <c r="MH7" t="str">
        <f>"636301"</f>
        <v>636301</v>
      </c>
      <c r="MI7" t="str">
        <f>"636302"</f>
        <v>636302</v>
      </c>
      <c r="MJ7" t="str">
        <f>"636303"</f>
        <v>636303</v>
      </c>
      <c r="MK7" t="str">
        <f>"640000"</f>
        <v>640000</v>
      </c>
      <c r="ML7" t="str">
        <f>"641101"</f>
        <v>641101</v>
      </c>
      <c r="MM7" t="str">
        <f>"641102"</f>
        <v>641102</v>
      </c>
      <c r="MN7" t="str">
        <f>"641103"</f>
        <v>641103</v>
      </c>
      <c r="MO7" t="str">
        <f>"641104"</f>
        <v>641104</v>
      </c>
      <c r="MP7" t="str">
        <f>"641105"</f>
        <v>641105</v>
      </c>
      <c r="MQ7" t="str">
        <f>"641106"</f>
        <v>641106</v>
      </c>
      <c r="MR7" t="str">
        <f>"641108"</f>
        <v>641108</v>
      </c>
      <c r="MS7" t="str">
        <f>"641109"</f>
        <v>641109</v>
      </c>
      <c r="MT7" t="str">
        <f>"641301"</f>
        <v>641301</v>
      </c>
      <c r="MU7" t="str">
        <f>"641302"</f>
        <v>641302</v>
      </c>
      <c r="MV7" t="str">
        <f>"641401"</f>
        <v>641401</v>
      </c>
      <c r="MW7" t="str">
        <f>"641402"</f>
        <v>641402</v>
      </c>
      <c r="MX7" t="str">
        <f>"641403"</f>
        <v>641403</v>
      </c>
      <c r="MY7" t="str">
        <f>"641404"</f>
        <v>641404</v>
      </c>
      <c r="MZ7" t="str">
        <f>"641405"</f>
        <v>641405</v>
      </c>
      <c r="NA7" t="str">
        <f>"641501"</f>
        <v>641501</v>
      </c>
      <c r="NB7" t="str">
        <f>"641601"</f>
        <v>641601</v>
      </c>
      <c r="NC7" t="str">
        <f>"641801"</f>
        <v>641801</v>
      </c>
      <c r="ND7" t="str">
        <f>"641901"</f>
        <v>641901</v>
      </c>
      <c r="NE7" t="str">
        <f>"645101"</f>
        <v>645101</v>
      </c>
      <c r="NF7" t="str">
        <f>"645102"</f>
        <v>645102</v>
      </c>
      <c r="NG7" t="str">
        <f>"645103"</f>
        <v>645103</v>
      </c>
      <c r="NH7" t="str">
        <f>"645104"</f>
        <v>645104</v>
      </c>
      <c r="NI7" t="str">
        <f>"645201"</f>
        <v>645201</v>
      </c>
      <c r="NJ7" t="str">
        <f>"645202"</f>
        <v>645202</v>
      </c>
      <c r="NK7" t="str">
        <f>"645203"</f>
        <v>645203</v>
      </c>
      <c r="NL7" t="str">
        <f>"645204"</f>
        <v>645204</v>
      </c>
      <c r="NM7" t="str">
        <f>"645205"</f>
        <v>645205</v>
      </c>
      <c r="NN7" t="str">
        <f>"645301"</f>
        <v>645301</v>
      </c>
      <c r="NO7" t="str">
        <f>"645302"</f>
        <v>645302</v>
      </c>
      <c r="NP7" t="str">
        <f>"645401"</f>
        <v>645401</v>
      </c>
      <c r="NQ7" t="str">
        <f>"710000"</f>
        <v>710000</v>
      </c>
      <c r="NR7" t="str">
        <f>"711101"</f>
        <v>711101</v>
      </c>
      <c r="NS7" t="str">
        <f>"711102"</f>
        <v>711102</v>
      </c>
      <c r="NT7" t="str">
        <f>"711201"</f>
        <v>711201</v>
      </c>
      <c r="NU7" t="str">
        <f>"712101"</f>
        <v>712101</v>
      </c>
      <c r="NV7" t="str">
        <f>"712103"</f>
        <v>712103</v>
      </c>
      <c r="NW7" t="str">
        <f>"712105"</f>
        <v>712105</v>
      </c>
      <c r="NX7" t="str">
        <f>"712106"</f>
        <v>712106</v>
      </c>
      <c r="NY7" t="str">
        <f>"712107"</f>
        <v>712107</v>
      </c>
      <c r="NZ7" t="str">
        <f>"712108"</f>
        <v>712108</v>
      </c>
      <c r="OA7" t="str">
        <f>"712109"</f>
        <v>712109</v>
      </c>
      <c r="OB7" t="str">
        <f>"712201"</f>
        <v>712201</v>
      </c>
      <c r="OC7" t="str">
        <f>"712301"</f>
        <v>712301</v>
      </c>
      <c r="OD7" t="str">
        <f>"713101"</f>
        <v>713101</v>
      </c>
      <c r="OE7" t="str">
        <f>"713201"</f>
        <v>713201</v>
      </c>
      <c r="OF7" t="str">
        <f>"713202"</f>
        <v>713202</v>
      </c>
      <c r="OG7" t="str">
        <f>"713203"</f>
        <v>713203</v>
      </c>
      <c r="OH7" t="str">
        <f>"713302"</f>
        <v>713302</v>
      </c>
      <c r="OI7" t="str">
        <f>"713401"</f>
        <v>713401</v>
      </c>
      <c r="OJ7" t="str">
        <f>"713701"</f>
        <v>713701</v>
      </c>
      <c r="OK7" t="str">
        <f>"714101"</f>
        <v>714101</v>
      </c>
      <c r="OL7" t="str">
        <f>"714102"</f>
        <v>714102</v>
      </c>
      <c r="OM7" t="str">
        <f>"715101"</f>
        <v>715101</v>
      </c>
      <c r="ON7" t="str">
        <f>"715102"</f>
        <v>715102</v>
      </c>
      <c r="OO7" t="str">
        <f>"716101"</f>
        <v>716101</v>
      </c>
      <c r="OP7" t="str">
        <f>"716102"</f>
        <v>716102</v>
      </c>
      <c r="OQ7" t="str">
        <f>"716103"</f>
        <v>716103</v>
      </c>
      <c r="OR7" t="str">
        <f>"716201"</f>
        <v>716201</v>
      </c>
      <c r="OS7" t="str">
        <f>"717101"</f>
        <v>717101</v>
      </c>
      <c r="OT7" t="str">
        <f>"717201"</f>
        <v>717201</v>
      </c>
      <c r="OU7" t="str">
        <f>"717202"</f>
        <v>717202</v>
      </c>
      <c r="OV7" t="str">
        <f>"717204"</f>
        <v>717204</v>
      </c>
      <c r="OW7" t="str">
        <f>"717301"</f>
        <v>717301</v>
      </c>
      <c r="OX7" t="str">
        <f>"718101"</f>
        <v>718101</v>
      </c>
      <c r="OY7" t="str">
        <f>"718102"</f>
        <v>718102</v>
      </c>
      <c r="OZ7" t="str">
        <f>"719101"</f>
        <v>719101</v>
      </c>
      <c r="PA7" t="str">
        <f>"719102"</f>
        <v>719102</v>
      </c>
      <c r="PB7" t="str">
        <f>"719201"</f>
        <v>719201</v>
      </c>
      <c r="PC7" t="str">
        <f>"719202"</f>
        <v>719202</v>
      </c>
      <c r="PD7" t="str">
        <f>"810000"</f>
        <v>810000</v>
      </c>
      <c r="PE7" t="str">
        <f>"811101"</f>
        <v>811101</v>
      </c>
      <c r="PF7" t="str">
        <f>"811201"</f>
        <v>811201</v>
      </c>
      <c r="PG7" t="str">
        <f>"811301"</f>
        <v>811301</v>
      </c>
      <c r="PH7" t="str">
        <f>"811302"</f>
        <v>811302</v>
      </c>
      <c r="PI7" t="str">
        <f>"811401"</f>
        <v>811401</v>
      </c>
      <c r="PJ7" t="str">
        <f>"811403"</f>
        <v>811403</v>
      </c>
      <c r="PK7" t="str">
        <f>"811501"</f>
        <v>811501</v>
      </c>
      <c r="PL7" t="str">
        <f>"811503"</f>
        <v>811503</v>
      </c>
      <c r="PM7" t="str">
        <f>"811504"</f>
        <v>811504</v>
      </c>
      <c r="PN7" t="str">
        <f>"811505"</f>
        <v>811505</v>
      </c>
      <c r="PO7" t="str">
        <f>"811506"</f>
        <v>811506</v>
      </c>
      <c r="PP7" t="str">
        <f>"811507"</f>
        <v>811507</v>
      </c>
      <c r="PQ7" t="str">
        <f>"811508"</f>
        <v>811508</v>
      </c>
      <c r="PR7" t="str">
        <f>"811509"</f>
        <v>811509</v>
      </c>
      <c r="PS7" t="str">
        <f>"811510"</f>
        <v>811510</v>
      </c>
      <c r="PT7" t="str">
        <f>"811601"</f>
        <v>811601</v>
      </c>
      <c r="PU7" t="str">
        <f>"811701"</f>
        <v>811701</v>
      </c>
      <c r="PV7" t="str">
        <f>"811901"</f>
        <v>811901</v>
      </c>
      <c r="PW7" t="str">
        <f>"812101"</f>
        <v>812101</v>
      </c>
      <c r="PX7" t="str">
        <f>"812201"</f>
        <v>812201</v>
      </c>
      <c r="PY7" t="str">
        <f>"812202"</f>
        <v>812202</v>
      </c>
      <c r="PZ7" t="str">
        <f>"812203"</f>
        <v>812203</v>
      </c>
      <c r="QA7" t="str">
        <f>"813101"</f>
        <v>813101</v>
      </c>
      <c r="QB7" t="str">
        <f>"814201"</f>
        <v>814201</v>
      </c>
      <c r="QC7" t="str">
        <f>"814202"</f>
        <v>814202</v>
      </c>
      <c r="QD7" t="str">
        <f>"814203"</f>
        <v>814203</v>
      </c>
      <c r="QE7" t="str">
        <f>"814204"</f>
        <v>814204</v>
      </c>
      <c r="QF7" t="str">
        <f>"814205"</f>
        <v>814205</v>
      </c>
      <c r="QG7" t="str">
        <f>"814301"</f>
        <v>814301</v>
      </c>
      <c r="QH7" t="str">
        <f>"814401"</f>
        <v>814401</v>
      </c>
      <c r="QI7" t="str">
        <f>"814501"</f>
        <v>814501</v>
      </c>
      <c r="QJ7" t="str">
        <f>"815100"</f>
        <v>815100</v>
      </c>
      <c r="QK7" t="str">
        <f>"815101"</f>
        <v>815101</v>
      </c>
      <c r="QL7" t="str">
        <f>"815102"</f>
        <v>815102</v>
      </c>
      <c r="QM7" t="str">
        <f>"815103"</f>
        <v>815103</v>
      </c>
      <c r="QN7" t="str">
        <f>"815104"</f>
        <v>815104</v>
      </c>
      <c r="QO7" t="str">
        <f>"816101"</f>
        <v>816101</v>
      </c>
      <c r="QP7" t="str">
        <f>"816201"</f>
        <v>816201</v>
      </c>
      <c r="QQ7" t="str">
        <f>"817101"</f>
        <v>817101</v>
      </c>
      <c r="QR7" t="str">
        <f>"817202"</f>
        <v>817202</v>
      </c>
      <c r="QS7" t="str">
        <f>"817203"</f>
        <v>817203</v>
      </c>
      <c r="QT7" t="str">
        <f>"818101"</f>
        <v>818101</v>
      </c>
      <c r="QU7" t="str">
        <f>"818102"</f>
        <v>818102</v>
      </c>
      <c r="QV7" t="str">
        <f>"818104"</f>
        <v>818104</v>
      </c>
      <c r="QW7" t="str">
        <f>"818201"</f>
        <v>818201</v>
      </c>
      <c r="QX7" t="str">
        <f>"819101"</f>
        <v>819101</v>
      </c>
      <c r="QY7" t="str">
        <f>"819301"</f>
        <v>819301</v>
      </c>
    </row>
    <row r="8" spans="1:467" x14ac:dyDescent="0.4">
      <c r="A8" t="s">
        <v>7</v>
      </c>
      <c r="B8" t="s">
        <v>8</v>
      </c>
      <c r="C8" t="s">
        <v>9</v>
      </c>
      <c r="D8" t="s">
        <v>10</v>
      </c>
      <c r="E8" t="s">
        <v>13</v>
      </c>
      <c r="F8" t="s">
        <v>1851</v>
      </c>
      <c r="G8" t="s">
        <v>14</v>
      </c>
      <c r="H8" t="s">
        <v>15</v>
      </c>
      <c r="I8" t="s">
        <v>16</v>
      </c>
      <c r="J8" t="s">
        <v>17</v>
      </c>
      <c r="K8" t="s">
        <v>21</v>
      </c>
      <c r="L8" t="s">
        <v>18</v>
      </c>
      <c r="M8" t="s">
        <v>19</v>
      </c>
      <c r="N8" t="s">
        <v>22</v>
      </c>
      <c r="O8" t="s">
        <v>23</v>
      </c>
      <c r="P8" t="s">
        <v>24</v>
      </c>
      <c r="Q8" t="s">
        <v>25</v>
      </c>
      <c r="R8" t="s">
        <v>26</v>
      </c>
      <c r="S8" t="s">
        <v>27</v>
      </c>
      <c r="T8" t="s">
        <v>28</v>
      </c>
      <c r="U8" t="s">
        <v>29</v>
      </c>
      <c r="V8" t="s">
        <v>30</v>
      </c>
      <c r="W8" t="s">
        <v>31</v>
      </c>
      <c r="X8" t="s">
        <v>32</v>
      </c>
      <c r="Y8" t="s">
        <v>33</v>
      </c>
      <c r="Z8" t="s">
        <v>34</v>
      </c>
      <c r="AA8" t="s">
        <v>35</v>
      </c>
      <c r="AB8" t="s">
        <v>36</v>
      </c>
      <c r="AC8" t="s">
        <v>37</v>
      </c>
      <c r="AD8" t="s">
        <v>38</v>
      </c>
      <c r="AE8" t="s">
        <v>39</v>
      </c>
      <c r="AF8" t="s">
        <v>40</v>
      </c>
      <c r="AG8" t="s">
        <v>41</v>
      </c>
      <c r="AH8" t="s">
        <v>42</v>
      </c>
      <c r="AI8" t="s">
        <v>43</v>
      </c>
      <c r="AJ8" t="s">
        <v>44</v>
      </c>
      <c r="AK8" t="s">
        <v>45</v>
      </c>
      <c r="AL8" t="s">
        <v>46</v>
      </c>
      <c r="AM8" t="s">
        <v>47</v>
      </c>
      <c r="AN8" t="s">
        <v>48</v>
      </c>
      <c r="AO8" t="s">
        <v>49</v>
      </c>
      <c r="AP8" t="s">
        <v>50</v>
      </c>
      <c r="AQ8" t="s">
        <v>51</v>
      </c>
      <c r="AR8" t="s">
        <v>52</v>
      </c>
      <c r="AS8" t="s">
        <v>53</v>
      </c>
      <c r="AT8" t="s">
        <v>54</v>
      </c>
      <c r="AU8" t="s">
        <v>55</v>
      </c>
      <c r="AV8" t="s">
        <v>56</v>
      </c>
      <c r="AW8" t="s">
        <v>57</v>
      </c>
      <c r="AX8" t="s">
        <v>58</v>
      </c>
      <c r="AY8" t="s">
        <v>59</v>
      </c>
      <c r="AZ8" t="s">
        <v>60</v>
      </c>
      <c r="BA8" t="s">
        <v>61</v>
      </c>
      <c r="BB8" t="s">
        <v>62</v>
      </c>
      <c r="BC8" t="s">
        <v>63</v>
      </c>
      <c r="BD8" t="s">
        <v>64</v>
      </c>
      <c r="BE8" t="s">
        <v>65</v>
      </c>
      <c r="BF8" t="s">
        <v>66</v>
      </c>
      <c r="BG8" t="s">
        <v>67</v>
      </c>
      <c r="BH8" t="s">
        <v>68</v>
      </c>
      <c r="BI8" t="s">
        <v>69</v>
      </c>
      <c r="BJ8" t="s">
        <v>70</v>
      </c>
      <c r="BK8" t="s">
        <v>71</v>
      </c>
      <c r="BL8" t="s">
        <v>72</v>
      </c>
      <c r="BM8" t="s">
        <v>73</v>
      </c>
      <c r="BN8" t="s">
        <v>74</v>
      </c>
      <c r="BO8" t="s">
        <v>75</v>
      </c>
      <c r="BP8" t="s">
        <v>76</v>
      </c>
      <c r="BQ8" t="s">
        <v>77</v>
      </c>
      <c r="BR8" t="s">
        <v>78</v>
      </c>
      <c r="BS8" t="s">
        <v>79</v>
      </c>
      <c r="BT8" t="s">
        <v>80</v>
      </c>
      <c r="BU8" t="s">
        <v>81</v>
      </c>
      <c r="BV8" t="s">
        <v>82</v>
      </c>
      <c r="BW8" t="s">
        <v>83</v>
      </c>
      <c r="BX8" t="s">
        <v>84</v>
      </c>
      <c r="BY8" t="s">
        <v>85</v>
      </c>
      <c r="BZ8" t="s">
        <v>86</v>
      </c>
      <c r="CA8" t="s">
        <v>87</v>
      </c>
      <c r="CB8" t="s">
        <v>88</v>
      </c>
      <c r="CC8" t="s">
        <v>89</v>
      </c>
      <c r="CD8" t="s">
        <v>90</v>
      </c>
      <c r="CE8" t="s">
        <v>91</v>
      </c>
      <c r="CF8" t="s">
        <v>92</v>
      </c>
      <c r="CG8" t="s">
        <v>93</v>
      </c>
      <c r="CH8" t="s">
        <v>94</v>
      </c>
      <c r="CI8" t="s">
        <v>95</v>
      </c>
      <c r="CJ8" t="s">
        <v>96</v>
      </c>
      <c r="CK8" t="s">
        <v>97</v>
      </c>
      <c r="CL8" t="s">
        <v>98</v>
      </c>
      <c r="CM8" t="s">
        <v>99</v>
      </c>
      <c r="CN8" t="s">
        <v>100</v>
      </c>
      <c r="CO8" t="s">
        <v>101</v>
      </c>
      <c r="CP8" t="s">
        <v>102</v>
      </c>
      <c r="CQ8" t="s">
        <v>103</v>
      </c>
      <c r="CR8" t="s">
        <v>104</v>
      </c>
      <c r="CS8" t="s">
        <v>105</v>
      </c>
      <c r="CT8" t="s">
        <v>106</v>
      </c>
      <c r="CU8" t="s">
        <v>107</v>
      </c>
      <c r="CV8" t="s">
        <v>108</v>
      </c>
      <c r="CW8" t="s">
        <v>109</v>
      </c>
      <c r="CX8" t="s">
        <v>110</v>
      </c>
      <c r="CY8" t="s">
        <v>111</v>
      </c>
      <c r="CZ8" t="s">
        <v>112</v>
      </c>
      <c r="DA8" t="s">
        <v>113</v>
      </c>
      <c r="DB8" t="s">
        <v>114</v>
      </c>
      <c r="DC8" t="s">
        <v>115</v>
      </c>
      <c r="DD8" t="s">
        <v>116</v>
      </c>
      <c r="DE8" t="s">
        <v>117</v>
      </c>
      <c r="DF8" t="s">
        <v>118</v>
      </c>
      <c r="DG8" t="s">
        <v>119</v>
      </c>
      <c r="DH8" t="s">
        <v>120</v>
      </c>
      <c r="DI8" t="s">
        <v>121</v>
      </c>
      <c r="DJ8" t="s">
        <v>122</v>
      </c>
      <c r="DK8" t="s">
        <v>123</v>
      </c>
      <c r="DL8" t="s">
        <v>124</v>
      </c>
      <c r="DM8" t="s">
        <v>125</v>
      </c>
      <c r="DN8" t="s">
        <v>126</v>
      </c>
      <c r="DO8" t="s">
        <v>127</v>
      </c>
      <c r="DP8" t="s">
        <v>128</v>
      </c>
      <c r="DQ8" t="s">
        <v>129</v>
      </c>
      <c r="DR8" t="s">
        <v>130</v>
      </c>
      <c r="DS8" t="s">
        <v>131</v>
      </c>
      <c r="DT8" t="s">
        <v>132</v>
      </c>
      <c r="DU8" t="s">
        <v>133</v>
      </c>
      <c r="DV8" t="s">
        <v>134</v>
      </c>
      <c r="DW8" t="s">
        <v>135</v>
      </c>
      <c r="DX8" t="s">
        <v>136</v>
      </c>
      <c r="DY8" t="s">
        <v>137</v>
      </c>
      <c r="DZ8" t="s">
        <v>138</v>
      </c>
      <c r="EA8" t="s">
        <v>139</v>
      </c>
      <c r="EB8" t="s">
        <v>140</v>
      </c>
      <c r="EC8" t="s">
        <v>141</v>
      </c>
      <c r="ED8" t="s">
        <v>142</v>
      </c>
      <c r="EE8" t="s">
        <v>143</v>
      </c>
      <c r="EF8" t="s">
        <v>144</v>
      </c>
      <c r="EG8" t="s">
        <v>145</v>
      </c>
      <c r="EH8" t="s">
        <v>146</v>
      </c>
      <c r="EI8" t="s">
        <v>147</v>
      </c>
      <c r="EJ8" t="s">
        <v>148</v>
      </c>
      <c r="EK8" t="s">
        <v>149</v>
      </c>
      <c r="EL8" t="s">
        <v>150</v>
      </c>
      <c r="EM8" t="s">
        <v>151</v>
      </c>
      <c r="EN8" t="s">
        <v>152</v>
      </c>
      <c r="EO8" t="s">
        <v>153</v>
      </c>
      <c r="EP8" t="s">
        <v>154</v>
      </c>
      <c r="EQ8" t="s">
        <v>155</v>
      </c>
      <c r="ER8" t="s">
        <v>156</v>
      </c>
      <c r="ES8" t="s">
        <v>157</v>
      </c>
      <c r="ET8" t="s">
        <v>158</v>
      </c>
      <c r="EU8" t="s">
        <v>159</v>
      </c>
      <c r="EV8" t="s">
        <v>160</v>
      </c>
      <c r="EW8" t="s">
        <v>161</v>
      </c>
      <c r="EX8" t="s">
        <v>162</v>
      </c>
      <c r="EY8" t="s">
        <v>163</v>
      </c>
      <c r="EZ8" t="s">
        <v>164</v>
      </c>
      <c r="FA8" t="s">
        <v>165</v>
      </c>
      <c r="FB8" t="s">
        <v>166</v>
      </c>
      <c r="FC8" t="s">
        <v>167</v>
      </c>
      <c r="FD8" t="s">
        <v>168</v>
      </c>
      <c r="FE8" t="s">
        <v>169</v>
      </c>
      <c r="FF8" t="s">
        <v>170</v>
      </c>
      <c r="FG8" t="s">
        <v>171</v>
      </c>
      <c r="FH8" t="s">
        <v>172</v>
      </c>
      <c r="FI8" t="s">
        <v>173</v>
      </c>
      <c r="FJ8" t="s">
        <v>174</v>
      </c>
      <c r="FK8" t="s">
        <v>175</v>
      </c>
      <c r="FL8" t="s">
        <v>176</v>
      </c>
      <c r="FM8" t="s">
        <v>177</v>
      </c>
      <c r="FN8" t="s">
        <v>178</v>
      </c>
      <c r="FO8" t="s">
        <v>179</v>
      </c>
      <c r="FP8" t="s">
        <v>180</v>
      </c>
      <c r="FQ8" t="s">
        <v>181</v>
      </c>
      <c r="FR8" t="s">
        <v>182</v>
      </c>
      <c r="FS8" t="s">
        <v>183</v>
      </c>
      <c r="FT8" t="s">
        <v>184</v>
      </c>
      <c r="FU8" t="s">
        <v>185</v>
      </c>
      <c r="FV8" t="s">
        <v>186</v>
      </c>
      <c r="FW8" t="s">
        <v>187</v>
      </c>
      <c r="FX8" t="s">
        <v>188</v>
      </c>
      <c r="FY8" t="s">
        <v>189</v>
      </c>
      <c r="FZ8" t="s">
        <v>190</v>
      </c>
      <c r="GA8" t="s">
        <v>191</v>
      </c>
      <c r="GB8" t="s">
        <v>192</v>
      </c>
      <c r="GC8" t="s">
        <v>193</v>
      </c>
      <c r="GD8" t="s">
        <v>194</v>
      </c>
      <c r="GE8" t="s">
        <v>195</v>
      </c>
      <c r="GF8" t="s">
        <v>196</v>
      </c>
      <c r="GG8" t="s">
        <v>197</v>
      </c>
      <c r="GH8" t="s">
        <v>198</v>
      </c>
      <c r="GI8" t="s">
        <v>199</v>
      </c>
      <c r="GJ8" t="s">
        <v>200</v>
      </c>
      <c r="GK8" t="s">
        <v>201</v>
      </c>
      <c r="GL8" t="s">
        <v>202</v>
      </c>
      <c r="GM8" t="s">
        <v>203</v>
      </c>
      <c r="GN8" t="s">
        <v>204</v>
      </c>
      <c r="GO8" t="s">
        <v>205</v>
      </c>
      <c r="GP8" t="s">
        <v>206</v>
      </c>
      <c r="GQ8" t="s">
        <v>207</v>
      </c>
      <c r="GR8" t="s">
        <v>208</v>
      </c>
      <c r="GS8" t="s">
        <v>209</v>
      </c>
      <c r="GT8" t="s">
        <v>210</v>
      </c>
      <c r="GU8" t="s">
        <v>211</v>
      </c>
      <c r="GV8" t="s">
        <v>212</v>
      </c>
      <c r="GW8" t="s">
        <v>213</v>
      </c>
      <c r="GX8" t="s">
        <v>214</v>
      </c>
      <c r="GY8" t="s">
        <v>215</v>
      </c>
      <c r="GZ8" t="s">
        <v>216</v>
      </c>
      <c r="HA8" t="s">
        <v>217</v>
      </c>
      <c r="HB8" t="s">
        <v>218</v>
      </c>
      <c r="HC8" t="s">
        <v>219</v>
      </c>
      <c r="HD8" t="s">
        <v>220</v>
      </c>
      <c r="HE8" t="s">
        <v>221</v>
      </c>
      <c r="HF8" t="s">
        <v>222</v>
      </c>
      <c r="HG8" t="s">
        <v>223</v>
      </c>
      <c r="HH8" t="s">
        <v>224</v>
      </c>
      <c r="HI8" t="s">
        <v>225</v>
      </c>
      <c r="HJ8" t="s">
        <v>226</v>
      </c>
      <c r="HK8" t="s">
        <v>227</v>
      </c>
      <c r="HL8" t="s">
        <v>228</v>
      </c>
      <c r="HM8" t="s">
        <v>229</v>
      </c>
      <c r="HN8" t="s">
        <v>230</v>
      </c>
      <c r="HO8" t="s">
        <v>231</v>
      </c>
      <c r="HP8" t="s">
        <v>232</v>
      </c>
      <c r="HQ8" t="s">
        <v>233</v>
      </c>
      <c r="HR8" t="s">
        <v>234</v>
      </c>
      <c r="HS8" t="s">
        <v>235</v>
      </c>
      <c r="HT8" t="s">
        <v>236</v>
      </c>
      <c r="HU8" t="s">
        <v>237</v>
      </c>
      <c r="HV8" t="s">
        <v>238</v>
      </c>
      <c r="HW8" t="s">
        <v>239</v>
      </c>
      <c r="HX8" t="s">
        <v>240</v>
      </c>
      <c r="HY8" t="s">
        <v>241</v>
      </c>
      <c r="HZ8" t="s">
        <v>242</v>
      </c>
      <c r="IA8" t="s">
        <v>243</v>
      </c>
      <c r="IB8" t="s">
        <v>244</v>
      </c>
      <c r="IC8" t="s">
        <v>245</v>
      </c>
      <c r="ID8" t="s">
        <v>246</v>
      </c>
      <c r="IE8" t="s">
        <v>247</v>
      </c>
      <c r="IF8" t="s">
        <v>248</v>
      </c>
      <c r="IG8" t="s">
        <v>249</v>
      </c>
      <c r="IH8" t="s">
        <v>250</v>
      </c>
      <c r="II8" t="s">
        <v>251</v>
      </c>
      <c r="IJ8" t="s">
        <v>252</v>
      </c>
      <c r="IK8" t="s">
        <v>253</v>
      </c>
      <c r="IL8" t="s">
        <v>254</v>
      </c>
      <c r="IM8" t="s">
        <v>255</v>
      </c>
      <c r="IN8" t="s">
        <v>256</v>
      </c>
      <c r="IO8" t="s">
        <v>257</v>
      </c>
      <c r="IP8" t="s">
        <v>258</v>
      </c>
      <c r="IQ8" t="s">
        <v>259</v>
      </c>
      <c r="IR8" t="s">
        <v>260</v>
      </c>
      <c r="IS8" t="s">
        <v>261</v>
      </c>
      <c r="IT8" t="s">
        <v>262</v>
      </c>
      <c r="IU8" t="s">
        <v>263</v>
      </c>
      <c r="IV8" t="s">
        <v>264</v>
      </c>
      <c r="IW8" t="s">
        <v>265</v>
      </c>
      <c r="IX8" t="s">
        <v>266</v>
      </c>
      <c r="IY8" t="s">
        <v>267</v>
      </c>
      <c r="IZ8" t="s">
        <v>268</v>
      </c>
      <c r="JA8" t="s">
        <v>269</v>
      </c>
      <c r="JB8" t="s">
        <v>270</v>
      </c>
      <c r="JC8" t="s">
        <v>271</v>
      </c>
      <c r="JD8" t="s">
        <v>272</v>
      </c>
      <c r="JE8" t="s">
        <v>273</v>
      </c>
      <c r="JF8" t="s">
        <v>274</v>
      </c>
      <c r="JG8" t="s">
        <v>275</v>
      </c>
      <c r="JH8" t="s">
        <v>276</v>
      </c>
      <c r="JI8" t="s">
        <v>277</v>
      </c>
      <c r="JJ8" t="s">
        <v>278</v>
      </c>
      <c r="JK8" t="s">
        <v>279</v>
      </c>
      <c r="JL8" t="s">
        <v>280</v>
      </c>
      <c r="JM8" t="s">
        <v>281</v>
      </c>
      <c r="JN8" t="s">
        <v>282</v>
      </c>
      <c r="JO8" t="s">
        <v>283</v>
      </c>
      <c r="JP8" t="s">
        <v>284</v>
      </c>
      <c r="JQ8" t="s">
        <v>285</v>
      </c>
      <c r="JR8" t="s">
        <v>286</v>
      </c>
      <c r="JS8" t="s">
        <v>287</v>
      </c>
      <c r="JT8" t="s">
        <v>288</v>
      </c>
      <c r="JU8" t="s">
        <v>289</v>
      </c>
      <c r="JV8" t="s">
        <v>290</v>
      </c>
      <c r="JW8" t="s">
        <v>291</v>
      </c>
      <c r="JX8" t="s">
        <v>292</v>
      </c>
      <c r="JY8" t="s">
        <v>293</v>
      </c>
      <c r="JZ8" t="s">
        <v>294</v>
      </c>
      <c r="KA8" t="s">
        <v>295</v>
      </c>
      <c r="KB8" t="s">
        <v>296</v>
      </c>
      <c r="KC8" t="s">
        <v>297</v>
      </c>
      <c r="KD8" t="s">
        <v>298</v>
      </c>
      <c r="KE8" t="s">
        <v>299</v>
      </c>
      <c r="KF8" t="s">
        <v>300</v>
      </c>
      <c r="KG8" t="s">
        <v>301</v>
      </c>
      <c r="KH8" t="s">
        <v>302</v>
      </c>
      <c r="KI8" t="s">
        <v>303</v>
      </c>
      <c r="KJ8" t="s">
        <v>304</v>
      </c>
      <c r="KK8" t="s">
        <v>305</v>
      </c>
      <c r="KL8" t="s">
        <v>306</v>
      </c>
      <c r="KM8" t="s">
        <v>307</v>
      </c>
      <c r="KN8" t="s">
        <v>308</v>
      </c>
      <c r="KO8" t="s">
        <v>309</v>
      </c>
      <c r="KP8" t="s">
        <v>310</v>
      </c>
      <c r="KQ8" t="s">
        <v>311</v>
      </c>
      <c r="KR8" t="s">
        <v>312</v>
      </c>
      <c r="KS8" t="s">
        <v>313</v>
      </c>
      <c r="KT8" t="s">
        <v>314</v>
      </c>
      <c r="KU8" t="s">
        <v>315</v>
      </c>
      <c r="KV8" t="s">
        <v>316</v>
      </c>
      <c r="KW8" t="s">
        <v>317</v>
      </c>
      <c r="KX8" t="s">
        <v>318</v>
      </c>
      <c r="KY8" t="s">
        <v>319</v>
      </c>
      <c r="KZ8" t="s">
        <v>320</v>
      </c>
      <c r="LA8" t="s">
        <v>321</v>
      </c>
      <c r="LB8" t="s">
        <v>322</v>
      </c>
      <c r="LC8" t="s">
        <v>323</v>
      </c>
      <c r="LD8" t="s">
        <v>324</v>
      </c>
      <c r="LE8" t="s">
        <v>325</v>
      </c>
      <c r="LF8" t="s">
        <v>326</v>
      </c>
      <c r="LG8" t="s">
        <v>327</v>
      </c>
      <c r="LH8" t="s">
        <v>328</v>
      </c>
      <c r="LI8" t="s">
        <v>329</v>
      </c>
      <c r="LJ8" t="s">
        <v>330</v>
      </c>
      <c r="LK8" t="s">
        <v>331</v>
      </c>
      <c r="LL8" t="s">
        <v>332</v>
      </c>
      <c r="LM8" t="s">
        <v>333</v>
      </c>
      <c r="LN8" t="s">
        <v>334</v>
      </c>
      <c r="LO8" t="s">
        <v>335</v>
      </c>
      <c r="LP8" t="s">
        <v>336</v>
      </c>
      <c r="LQ8" t="s">
        <v>337</v>
      </c>
      <c r="LR8" t="s">
        <v>338</v>
      </c>
      <c r="LS8" t="s">
        <v>339</v>
      </c>
      <c r="LT8" t="s">
        <v>340</v>
      </c>
      <c r="LU8" t="s">
        <v>341</v>
      </c>
      <c r="LV8" t="s">
        <v>342</v>
      </c>
      <c r="LW8" t="s">
        <v>343</v>
      </c>
      <c r="LX8" t="s">
        <v>344</v>
      </c>
      <c r="LY8" t="s">
        <v>345</v>
      </c>
      <c r="LZ8" t="s">
        <v>346</v>
      </c>
      <c r="MA8" t="s">
        <v>347</v>
      </c>
      <c r="MB8" t="s">
        <v>348</v>
      </c>
      <c r="MC8" t="s">
        <v>349</v>
      </c>
      <c r="MD8" t="s">
        <v>350</v>
      </c>
      <c r="ME8" t="s">
        <v>351</v>
      </c>
      <c r="MF8" t="s">
        <v>352</v>
      </c>
      <c r="MG8" t="s">
        <v>353</v>
      </c>
      <c r="MH8" t="s">
        <v>354</v>
      </c>
      <c r="MI8" t="s">
        <v>355</v>
      </c>
      <c r="MJ8" t="s">
        <v>356</v>
      </c>
      <c r="MK8" t="s">
        <v>357</v>
      </c>
      <c r="ML8" t="s">
        <v>358</v>
      </c>
      <c r="MM8" t="s">
        <v>359</v>
      </c>
      <c r="MN8" t="s">
        <v>360</v>
      </c>
      <c r="MO8" t="s">
        <v>361</v>
      </c>
      <c r="MP8" t="s">
        <v>362</v>
      </c>
      <c r="MQ8" t="s">
        <v>363</v>
      </c>
      <c r="MR8" t="s">
        <v>364</v>
      </c>
      <c r="MS8" t="s">
        <v>365</v>
      </c>
      <c r="MT8" t="s">
        <v>366</v>
      </c>
      <c r="MU8" t="s">
        <v>367</v>
      </c>
      <c r="MV8" t="s">
        <v>368</v>
      </c>
      <c r="MW8" t="s">
        <v>369</v>
      </c>
      <c r="MX8" t="s">
        <v>370</v>
      </c>
      <c r="MY8" t="s">
        <v>371</v>
      </c>
      <c r="MZ8" t="s">
        <v>372</v>
      </c>
      <c r="NA8" t="s">
        <v>373</v>
      </c>
      <c r="NB8" t="s">
        <v>374</v>
      </c>
      <c r="NC8" t="s">
        <v>375</v>
      </c>
      <c r="ND8" t="s">
        <v>376</v>
      </c>
      <c r="NE8" t="s">
        <v>377</v>
      </c>
      <c r="NF8" t="s">
        <v>378</v>
      </c>
      <c r="NG8" t="s">
        <v>379</v>
      </c>
      <c r="NH8" t="s">
        <v>380</v>
      </c>
      <c r="NI8" t="s">
        <v>381</v>
      </c>
      <c r="NJ8" t="s">
        <v>382</v>
      </c>
      <c r="NK8" t="s">
        <v>383</v>
      </c>
      <c r="NL8" t="s">
        <v>384</v>
      </c>
      <c r="NM8" t="s">
        <v>385</v>
      </c>
      <c r="NN8" t="s">
        <v>386</v>
      </c>
      <c r="NO8" t="s">
        <v>387</v>
      </c>
      <c r="NP8" t="s">
        <v>388</v>
      </c>
      <c r="NQ8" t="s">
        <v>389</v>
      </c>
      <c r="NR8" t="s">
        <v>390</v>
      </c>
      <c r="NS8" t="s">
        <v>391</v>
      </c>
      <c r="NT8" t="s">
        <v>392</v>
      </c>
      <c r="NU8" t="s">
        <v>393</v>
      </c>
      <c r="NV8" t="s">
        <v>394</v>
      </c>
      <c r="NW8" t="s">
        <v>395</v>
      </c>
      <c r="NX8" t="s">
        <v>396</v>
      </c>
      <c r="NY8" t="s">
        <v>397</v>
      </c>
      <c r="NZ8" t="s">
        <v>398</v>
      </c>
      <c r="OA8" t="s">
        <v>399</v>
      </c>
      <c r="OB8" t="s">
        <v>400</v>
      </c>
      <c r="OC8" t="s">
        <v>401</v>
      </c>
      <c r="OD8" t="s">
        <v>402</v>
      </c>
      <c r="OE8" t="s">
        <v>403</v>
      </c>
      <c r="OF8" t="s">
        <v>404</v>
      </c>
      <c r="OG8" t="s">
        <v>405</v>
      </c>
      <c r="OH8" t="s">
        <v>406</v>
      </c>
      <c r="OI8" t="s">
        <v>407</v>
      </c>
      <c r="OJ8" t="s">
        <v>408</v>
      </c>
      <c r="OK8" t="s">
        <v>409</v>
      </c>
      <c r="OL8" t="s">
        <v>410</v>
      </c>
      <c r="OM8" t="s">
        <v>411</v>
      </c>
      <c r="ON8" t="s">
        <v>412</v>
      </c>
      <c r="OO8" t="s">
        <v>413</v>
      </c>
      <c r="OP8" t="s">
        <v>414</v>
      </c>
      <c r="OQ8" t="s">
        <v>415</v>
      </c>
      <c r="OR8" t="s">
        <v>416</v>
      </c>
      <c r="OS8" t="s">
        <v>417</v>
      </c>
      <c r="OT8" t="s">
        <v>418</v>
      </c>
      <c r="OU8" t="s">
        <v>419</v>
      </c>
      <c r="OV8" t="s">
        <v>420</v>
      </c>
      <c r="OW8" t="s">
        <v>421</v>
      </c>
      <c r="OX8" t="s">
        <v>422</v>
      </c>
      <c r="OY8" t="s">
        <v>423</v>
      </c>
      <c r="OZ8" t="s">
        <v>424</v>
      </c>
      <c r="PA8" t="s">
        <v>425</v>
      </c>
      <c r="PB8" t="s">
        <v>426</v>
      </c>
      <c r="PC8" t="s">
        <v>427</v>
      </c>
      <c r="PD8" t="s">
        <v>428</v>
      </c>
      <c r="PE8" t="s">
        <v>429</v>
      </c>
      <c r="PF8" t="s">
        <v>430</v>
      </c>
      <c r="PG8" t="s">
        <v>431</v>
      </c>
      <c r="PH8" t="s">
        <v>432</v>
      </c>
      <c r="PI8" t="s">
        <v>433</v>
      </c>
      <c r="PJ8" t="s">
        <v>434</v>
      </c>
      <c r="PK8" t="s">
        <v>435</v>
      </c>
      <c r="PL8" t="s">
        <v>436</v>
      </c>
      <c r="PM8" t="s">
        <v>437</v>
      </c>
      <c r="PN8" t="s">
        <v>438</v>
      </c>
      <c r="PO8" t="s">
        <v>439</v>
      </c>
      <c r="PP8" t="s">
        <v>440</v>
      </c>
      <c r="PQ8" t="s">
        <v>441</v>
      </c>
      <c r="PR8" t="s">
        <v>442</v>
      </c>
      <c r="PS8" t="s">
        <v>443</v>
      </c>
      <c r="PT8" t="s">
        <v>444</v>
      </c>
      <c r="PU8" t="s">
        <v>445</v>
      </c>
      <c r="PV8" t="s">
        <v>446</v>
      </c>
      <c r="PW8" t="s">
        <v>447</v>
      </c>
      <c r="PX8" t="s">
        <v>448</v>
      </c>
      <c r="PY8" t="s">
        <v>449</v>
      </c>
      <c r="PZ8" t="s">
        <v>450</v>
      </c>
      <c r="QA8" t="s">
        <v>451</v>
      </c>
      <c r="QB8" t="s">
        <v>452</v>
      </c>
      <c r="QC8" t="s">
        <v>453</v>
      </c>
      <c r="QD8" t="s">
        <v>454</v>
      </c>
      <c r="QE8" t="s">
        <v>455</v>
      </c>
      <c r="QF8" t="s">
        <v>456</v>
      </c>
      <c r="QG8" t="s">
        <v>457</v>
      </c>
      <c r="QH8" t="s">
        <v>458</v>
      </c>
      <c r="QI8" t="s">
        <v>459</v>
      </c>
      <c r="QJ8" t="s">
        <v>460</v>
      </c>
      <c r="QK8" t="s">
        <v>461</v>
      </c>
      <c r="QL8" t="s">
        <v>462</v>
      </c>
      <c r="QM8" t="s">
        <v>463</v>
      </c>
      <c r="QN8" t="s">
        <v>464</v>
      </c>
      <c r="QO8" t="s">
        <v>465</v>
      </c>
      <c r="QP8" t="s">
        <v>466</v>
      </c>
      <c r="QQ8" t="s">
        <v>467</v>
      </c>
      <c r="QR8" t="s">
        <v>468</v>
      </c>
      <c r="QS8" t="s">
        <v>469</v>
      </c>
      <c r="QT8" t="s">
        <v>470</v>
      </c>
      <c r="QU8" t="s">
        <v>471</v>
      </c>
      <c r="QV8" t="s">
        <v>472</v>
      </c>
      <c r="QW8" t="s">
        <v>473</v>
      </c>
      <c r="QX8" t="s">
        <v>474</v>
      </c>
      <c r="QY8" t="s">
        <v>475</v>
      </c>
    </row>
    <row r="9" spans="1:467" hidden="1" x14ac:dyDescent="0.4">
      <c r="M9" t="s">
        <v>476</v>
      </c>
      <c r="N9" t="s">
        <v>477</v>
      </c>
      <c r="O9" t="s">
        <v>477</v>
      </c>
      <c r="P9" t="s">
        <v>477</v>
      </c>
      <c r="Q9" t="s">
        <v>477</v>
      </c>
      <c r="R9">
        <v>0</v>
      </c>
      <c r="S9">
        <v>71</v>
      </c>
      <c r="T9">
        <v>149</v>
      </c>
      <c r="U9">
        <v>38</v>
      </c>
      <c r="V9">
        <v>3</v>
      </c>
      <c r="W9">
        <v>82</v>
      </c>
      <c r="X9">
        <v>5</v>
      </c>
      <c r="Y9">
        <v>55</v>
      </c>
      <c r="Z9">
        <v>8</v>
      </c>
      <c r="AA9">
        <v>53</v>
      </c>
      <c r="AB9">
        <v>7</v>
      </c>
      <c r="AC9">
        <v>1</v>
      </c>
      <c r="AD9">
        <v>94</v>
      </c>
      <c r="AE9">
        <v>91</v>
      </c>
      <c r="AF9">
        <v>2</v>
      </c>
      <c r="AG9">
        <v>4</v>
      </c>
      <c r="AH9">
        <v>0</v>
      </c>
      <c r="AI9">
        <v>55</v>
      </c>
      <c r="AJ9">
        <v>15</v>
      </c>
      <c r="AK9">
        <v>42</v>
      </c>
      <c r="AL9">
        <v>85</v>
      </c>
      <c r="AM9">
        <v>1</v>
      </c>
      <c r="AN9">
        <v>9</v>
      </c>
      <c r="AO9">
        <v>0</v>
      </c>
      <c r="AP9">
        <v>1</v>
      </c>
      <c r="AQ9">
        <v>2</v>
      </c>
      <c r="AR9">
        <v>4</v>
      </c>
      <c r="AS9">
        <v>28</v>
      </c>
      <c r="AT9">
        <v>5</v>
      </c>
      <c r="AU9">
        <v>3</v>
      </c>
      <c r="AV9">
        <v>170</v>
      </c>
      <c r="AW9">
        <v>29</v>
      </c>
      <c r="AX9">
        <v>0</v>
      </c>
      <c r="AY9">
        <v>0</v>
      </c>
      <c r="AZ9">
        <v>0</v>
      </c>
      <c r="BA9">
        <v>1</v>
      </c>
      <c r="BB9">
        <v>330</v>
      </c>
      <c r="BC9">
        <v>12</v>
      </c>
      <c r="BD9">
        <v>39</v>
      </c>
      <c r="BE9">
        <v>81</v>
      </c>
      <c r="BF9">
        <v>1</v>
      </c>
      <c r="BG9">
        <v>127</v>
      </c>
      <c r="BH9">
        <v>15</v>
      </c>
      <c r="BI9">
        <v>40</v>
      </c>
      <c r="BJ9">
        <v>5</v>
      </c>
      <c r="BK9">
        <v>0</v>
      </c>
      <c r="BL9">
        <v>40</v>
      </c>
      <c r="BM9">
        <v>74</v>
      </c>
      <c r="BN9">
        <v>16</v>
      </c>
      <c r="BO9">
        <v>7</v>
      </c>
      <c r="BP9">
        <v>31</v>
      </c>
      <c r="BQ9">
        <v>20</v>
      </c>
      <c r="BR9">
        <v>23</v>
      </c>
      <c r="BS9">
        <v>19</v>
      </c>
      <c r="BT9">
        <v>19</v>
      </c>
      <c r="BU9">
        <v>6</v>
      </c>
      <c r="BV9">
        <v>22</v>
      </c>
      <c r="BW9">
        <v>1</v>
      </c>
      <c r="BX9">
        <v>0</v>
      </c>
      <c r="BY9">
        <v>2</v>
      </c>
      <c r="BZ9">
        <v>7</v>
      </c>
      <c r="CA9">
        <v>48</v>
      </c>
      <c r="CB9">
        <v>0</v>
      </c>
      <c r="CC9">
        <v>18</v>
      </c>
      <c r="CD9">
        <v>0</v>
      </c>
      <c r="CE9">
        <v>3</v>
      </c>
      <c r="CF9">
        <v>0</v>
      </c>
      <c r="CG9">
        <v>0</v>
      </c>
      <c r="CH9">
        <v>401</v>
      </c>
      <c r="CI9">
        <v>293</v>
      </c>
      <c r="CJ9">
        <v>1</v>
      </c>
      <c r="CK9">
        <v>8</v>
      </c>
      <c r="CL9">
        <v>1</v>
      </c>
      <c r="CM9">
        <v>1</v>
      </c>
      <c r="CN9">
        <v>6</v>
      </c>
      <c r="CO9">
        <v>1</v>
      </c>
      <c r="CP9">
        <v>0</v>
      </c>
      <c r="CQ9">
        <v>167</v>
      </c>
      <c r="CR9">
        <v>57</v>
      </c>
      <c r="CS9">
        <v>63</v>
      </c>
      <c r="CT9">
        <v>14</v>
      </c>
      <c r="CU9">
        <v>0</v>
      </c>
      <c r="CV9">
        <v>0</v>
      </c>
      <c r="CW9">
        <v>0</v>
      </c>
      <c r="CX9">
        <v>8</v>
      </c>
      <c r="CY9">
        <v>5</v>
      </c>
      <c r="CZ9">
        <v>17</v>
      </c>
      <c r="DA9">
        <v>0</v>
      </c>
      <c r="DB9">
        <v>105</v>
      </c>
      <c r="DC9">
        <v>73</v>
      </c>
      <c r="DD9">
        <v>2</v>
      </c>
      <c r="DE9">
        <v>13</v>
      </c>
      <c r="DF9">
        <v>21</v>
      </c>
      <c r="DG9">
        <v>0</v>
      </c>
      <c r="DH9">
        <v>0</v>
      </c>
      <c r="DI9">
        <v>1</v>
      </c>
      <c r="DJ9">
        <v>17</v>
      </c>
      <c r="DK9">
        <v>0</v>
      </c>
      <c r="DL9">
        <v>73</v>
      </c>
      <c r="DM9">
        <v>50</v>
      </c>
      <c r="DN9">
        <v>0</v>
      </c>
      <c r="DO9">
        <v>19</v>
      </c>
      <c r="DP9">
        <v>4</v>
      </c>
      <c r="DQ9">
        <v>0</v>
      </c>
      <c r="DR9">
        <v>0</v>
      </c>
      <c r="DS9">
        <v>0</v>
      </c>
      <c r="DT9">
        <v>69</v>
      </c>
      <c r="DU9">
        <v>0</v>
      </c>
      <c r="DV9">
        <v>0</v>
      </c>
      <c r="DW9">
        <v>32</v>
      </c>
      <c r="DX9">
        <v>12</v>
      </c>
      <c r="DY9">
        <v>196</v>
      </c>
      <c r="DZ9">
        <v>3</v>
      </c>
      <c r="EA9">
        <v>14</v>
      </c>
      <c r="EB9">
        <v>19</v>
      </c>
      <c r="EC9">
        <v>12</v>
      </c>
      <c r="ED9">
        <v>62</v>
      </c>
      <c r="EE9">
        <v>21</v>
      </c>
      <c r="EF9">
        <v>12</v>
      </c>
      <c r="EG9">
        <v>18</v>
      </c>
      <c r="EH9">
        <v>41</v>
      </c>
      <c r="EI9">
        <v>1</v>
      </c>
      <c r="EJ9">
        <v>0</v>
      </c>
      <c r="EK9">
        <v>1</v>
      </c>
      <c r="EL9">
        <v>1</v>
      </c>
      <c r="EM9">
        <v>12</v>
      </c>
      <c r="EN9">
        <v>8</v>
      </c>
      <c r="EO9">
        <v>0</v>
      </c>
      <c r="EP9">
        <v>2</v>
      </c>
      <c r="EQ9">
        <v>1</v>
      </c>
      <c r="ER9">
        <v>6</v>
      </c>
      <c r="ES9">
        <v>3</v>
      </c>
      <c r="ET9">
        <v>67</v>
      </c>
      <c r="EU9">
        <v>94</v>
      </c>
      <c r="EV9">
        <v>18</v>
      </c>
      <c r="EW9">
        <v>2</v>
      </c>
      <c r="EX9">
        <v>0</v>
      </c>
      <c r="EY9">
        <v>2</v>
      </c>
      <c r="EZ9">
        <v>9</v>
      </c>
      <c r="FA9">
        <v>53</v>
      </c>
      <c r="FB9">
        <v>3</v>
      </c>
      <c r="FC9">
        <v>0</v>
      </c>
      <c r="FD9">
        <v>29</v>
      </c>
      <c r="FE9">
        <v>59</v>
      </c>
      <c r="FF9">
        <v>14</v>
      </c>
      <c r="FG9">
        <v>0</v>
      </c>
      <c r="FH9">
        <v>49</v>
      </c>
      <c r="FI9">
        <v>0</v>
      </c>
      <c r="FJ9">
        <v>21</v>
      </c>
      <c r="FK9">
        <v>0</v>
      </c>
      <c r="FL9">
        <v>2</v>
      </c>
      <c r="FM9">
        <v>0</v>
      </c>
      <c r="FN9">
        <v>1</v>
      </c>
      <c r="FO9">
        <v>142</v>
      </c>
      <c r="FP9">
        <v>13</v>
      </c>
      <c r="FQ9">
        <v>4</v>
      </c>
      <c r="FR9">
        <v>0</v>
      </c>
      <c r="FS9">
        <v>0</v>
      </c>
      <c r="FT9">
        <v>266</v>
      </c>
      <c r="FU9">
        <v>0</v>
      </c>
      <c r="FV9">
        <v>24</v>
      </c>
      <c r="FW9">
        <v>0</v>
      </c>
      <c r="FX9">
        <v>26</v>
      </c>
      <c r="FY9">
        <v>51</v>
      </c>
      <c r="FZ9">
        <v>31</v>
      </c>
      <c r="GA9">
        <v>19</v>
      </c>
      <c r="GB9">
        <v>7</v>
      </c>
      <c r="GC9">
        <v>21</v>
      </c>
      <c r="GD9">
        <v>22</v>
      </c>
      <c r="GE9">
        <v>0</v>
      </c>
      <c r="GF9">
        <v>3</v>
      </c>
      <c r="GG9">
        <v>3</v>
      </c>
      <c r="GH9">
        <v>0</v>
      </c>
      <c r="GI9">
        <v>57</v>
      </c>
      <c r="GJ9">
        <v>0</v>
      </c>
      <c r="GK9">
        <v>4</v>
      </c>
      <c r="GL9">
        <v>8</v>
      </c>
      <c r="GM9">
        <v>5</v>
      </c>
      <c r="GN9">
        <v>161</v>
      </c>
      <c r="GO9">
        <v>4</v>
      </c>
      <c r="GP9">
        <v>15</v>
      </c>
      <c r="GQ9">
        <v>18</v>
      </c>
      <c r="GR9">
        <v>18</v>
      </c>
      <c r="GS9">
        <v>0</v>
      </c>
      <c r="GT9">
        <v>8</v>
      </c>
      <c r="GU9">
        <v>15</v>
      </c>
      <c r="GV9">
        <v>0</v>
      </c>
      <c r="GW9">
        <v>21</v>
      </c>
      <c r="GX9">
        <v>9</v>
      </c>
      <c r="GY9">
        <v>20</v>
      </c>
      <c r="GZ9">
        <v>3</v>
      </c>
      <c r="HA9">
        <v>2</v>
      </c>
      <c r="HB9">
        <v>0</v>
      </c>
      <c r="HC9">
        <v>14</v>
      </c>
      <c r="HD9">
        <v>12</v>
      </c>
      <c r="HE9">
        <v>13</v>
      </c>
      <c r="HF9">
        <v>38</v>
      </c>
      <c r="HG9">
        <v>36</v>
      </c>
      <c r="HH9">
        <v>19</v>
      </c>
      <c r="HI9">
        <v>2</v>
      </c>
      <c r="HJ9">
        <v>0</v>
      </c>
      <c r="HK9">
        <v>55</v>
      </c>
      <c r="HL9">
        <v>16</v>
      </c>
      <c r="HM9">
        <v>16</v>
      </c>
      <c r="HN9">
        <v>5</v>
      </c>
      <c r="HO9">
        <v>0</v>
      </c>
      <c r="HP9">
        <v>39</v>
      </c>
      <c r="HQ9">
        <v>0</v>
      </c>
      <c r="HR9">
        <v>0</v>
      </c>
      <c r="HS9">
        <v>0</v>
      </c>
      <c r="HT9">
        <v>6</v>
      </c>
      <c r="HU9">
        <v>135</v>
      </c>
      <c r="HV9">
        <v>238</v>
      </c>
      <c r="HW9">
        <v>56</v>
      </c>
      <c r="HX9">
        <v>0</v>
      </c>
      <c r="HY9">
        <v>37</v>
      </c>
      <c r="HZ9">
        <v>0</v>
      </c>
      <c r="IA9">
        <v>1</v>
      </c>
      <c r="IB9">
        <v>14</v>
      </c>
      <c r="IC9">
        <v>10</v>
      </c>
      <c r="ID9">
        <v>51</v>
      </c>
      <c r="IE9">
        <v>1</v>
      </c>
      <c r="IF9">
        <v>63</v>
      </c>
      <c r="IG9">
        <v>15</v>
      </c>
      <c r="IH9">
        <v>11</v>
      </c>
      <c r="II9">
        <v>0</v>
      </c>
      <c r="IJ9">
        <v>16</v>
      </c>
      <c r="IK9">
        <v>25</v>
      </c>
      <c r="IL9">
        <v>49</v>
      </c>
      <c r="IM9">
        <v>0</v>
      </c>
      <c r="IN9">
        <v>97</v>
      </c>
      <c r="IO9">
        <v>10</v>
      </c>
      <c r="IP9">
        <v>0</v>
      </c>
      <c r="IQ9">
        <v>9</v>
      </c>
      <c r="IR9">
        <v>4</v>
      </c>
      <c r="IS9">
        <v>4</v>
      </c>
      <c r="IT9">
        <v>84</v>
      </c>
      <c r="IU9">
        <v>3</v>
      </c>
      <c r="IV9">
        <v>73</v>
      </c>
      <c r="IW9">
        <v>29</v>
      </c>
      <c r="IX9">
        <v>4</v>
      </c>
      <c r="IY9">
        <v>94</v>
      </c>
      <c r="IZ9">
        <v>18</v>
      </c>
      <c r="JA9">
        <v>7</v>
      </c>
      <c r="JB9">
        <v>12</v>
      </c>
      <c r="JC9">
        <v>10</v>
      </c>
      <c r="JD9">
        <v>0</v>
      </c>
      <c r="JE9">
        <v>0</v>
      </c>
      <c r="JF9">
        <v>585</v>
      </c>
      <c r="JG9">
        <v>34</v>
      </c>
      <c r="JH9">
        <v>16</v>
      </c>
      <c r="JI9">
        <v>8</v>
      </c>
      <c r="JJ9">
        <v>9</v>
      </c>
      <c r="JK9">
        <v>0</v>
      </c>
      <c r="JL9">
        <v>5</v>
      </c>
      <c r="JM9">
        <v>205</v>
      </c>
      <c r="JN9">
        <v>167</v>
      </c>
      <c r="JO9">
        <v>3</v>
      </c>
      <c r="JP9">
        <v>56</v>
      </c>
      <c r="JQ9">
        <v>250</v>
      </c>
      <c r="JR9">
        <v>201</v>
      </c>
      <c r="JS9">
        <v>0</v>
      </c>
      <c r="JT9">
        <v>0</v>
      </c>
      <c r="JU9">
        <v>5</v>
      </c>
      <c r="JV9">
        <v>0</v>
      </c>
      <c r="JW9">
        <v>20</v>
      </c>
      <c r="JX9">
        <v>2</v>
      </c>
      <c r="JY9">
        <v>10</v>
      </c>
      <c r="JZ9">
        <v>0</v>
      </c>
      <c r="KA9">
        <v>0</v>
      </c>
      <c r="KB9">
        <v>393</v>
      </c>
      <c r="KC9">
        <v>4</v>
      </c>
      <c r="KD9">
        <v>1</v>
      </c>
      <c r="KE9">
        <v>4</v>
      </c>
      <c r="KF9">
        <v>66</v>
      </c>
      <c r="KG9">
        <v>20</v>
      </c>
      <c r="KH9">
        <v>8</v>
      </c>
      <c r="KI9">
        <v>0</v>
      </c>
      <c r="KJ9">
        <v>2</v>
      </c>
      <c r="KK9">
        <v>30</v>
      </c>
      <c r="KL9">
        <v>8</v>
      </c>
      <c r="KM9">
        <v>5</v>
      </c>
      <c r="KN9">
        <v>8</v>
      </c>
      <c r="KO9">
        <v>0</v>
      </c>
      <c r="KP9">
        <v>2</v>
      </c>
      <c r="KQ9">
        <v>88</v>
      </c>
      <c r="KR9">
        <v>10</v>
      </c>
      <c r="KS9">
        <v>1</v>
      </c>
      <c r="KT9">
        <v>1</v>
      </c>
      <c r="KU9">
        <v>0</v>
      </c>
      <c r="KV9">
        <v>56</v>
      </c>
      <c r="KW9">
        <v>30</v>
      </c>
      <c r="KX9">
        <v>0</v>
      </c>
      <c r="KY9">
        <v>0</v>
      </c>
      <c r="KZ9">
        <v>6</v>
      </c>
      <c r="LA9">
        <v>0</v>
      </c>
      <c r="LB9">
        <v>1</v>
      </c>
      <c r="LC9">
        <v>5</v>
      </c>
      <c r="LD9">
        <v>0</v>
      </c>
      <c r="LE9">
        <v>1</v>
      </c>
      <c r="LF9">
        <v>72</v>
      </c>
      <c r="LG9">
        <v>5</v>
      </c>
      <c r="LH9">
        <v>15</v>
      </c>
      <c r="LI9">
        <v>0</v>
      </c>
      <c r="LJ9">
        <v>31</v>
      </c>
      <c r="LK9">
        <v>0</v>
      </c>
      <c r="LL9">
        <v>0</v>
      </c>
      <c r="LM9">
        <v>20</v>
      </c>
      <c r="LN9">
        <v>0</v>
      </c>
      <c r="LO9">
        <v>13</v>
      </c>
      <c r="LP9">
        <v>46</v>
      </c>
      <c r="LQ9">
        <v>3</v>
      </c>
      <c r="LR9">
        <v>25</v>
      </c>
      <c r="LS9">
        <v>24</v>
      </c>
      <c r="LT9">
        <v>0</v>
      </c>
      <c r="LU9">
        <v>0</v>
      </c>
      <c r="LV9">
        <v>59</v>
      </c>
      <c r="LW9">
        <v>92</v>
      </c>
      <c r="LX9">
        <v>35</v>
      </c>
      <c r="LY9">
        <v>0</v>
      </c>
      <c r="LZ9">
        <v>12</v>
      </c>
      <c r="MA9">
        <v>0</v>
      </c>
      <c r="MB9">
        <v>24</v>
      </c>
      <c r="MC9">
        <v>0</v>
      </c>
      <c r="MD9">
        <v>29</v>
      </c>
      <c r="ME9">
        <v>0</v>
      </c>
      <c r="MF9">
        <v>0</v>
      </c>
      <c r="MG9">
        <v>4</v>
      </c>
      <c r="MH9">
        <v>2</v>
      </c>
      <c r="MI9">
        <v>1</v>
      </c>
      <c r="MJ9">
        <v>0</v>
      </c>
      <c r="MK9">
        <v>0</v>
      </c>
      <c r="ML9">
        <v>36</v>
      </c>
      <c r="MM9">
        <v>6</v>
      </c>
      <c r="MN9">
        <v>41</v>
      </c>
      <c r="MO9">
        <v>1</v>
      </c>
      <c r="MP9">
        <v>4</v>
      </c>
      <c r="MQ9">
        <v>0</v>
      </c>
      <c r="MR9">
        <v>0</v>
      </c>
      <c r="MS9">
        <v>0</v>
      </c>
      <c r="MT9">
        <v>2</v>
      </c>
      <c r="MU9">
        <v>0</v>
      </c>
      <c r="MV9">
        <v>86</v>
      </c>
      <c r="MW9">
        <v>5</v>
      </c>
      <c r="MX9">
        <v>0</v>
      </c>
      <c r="MY9">
        <v>0</v>
      </c>
      <c r="MZ9">
        <v>78</v>
      </c>
      <c r="NA9">
        <v>10</v>
      </c>
      <c r="NB9">
        <v>6</v>
      </c>
      <c r="NC9">
        <v>21</v>
      </c>
      <c r="ND9">
        <v>3</v>
      </c>
      <c r="NE9">
        <v>208</v>
      </c>
      <c r="NF9">
        <v>10</v>
      </c>
      <c r="NG9">
        <v>2</v>
      </c>
      <c r="NH9">
        <v>0</v>
      </c>
      <c r="NI9">
        <v>11</v>
      </c>
      <c r="NJ9">
        <v>7</v>
      </c>
      <c r="NK9">
        <v>4</v>
      </c>
      <c r="NL9">
        <v>8</v>
      </c>
      <c r="NM9">
        <v>0</v>
      </c>
      <c r="NN9">
        <v>11</v>
      </c>
      <c r="NO9">
        <v>0</v>
      </c>
      <c r="NP9">
        <v>5</v>
      </c>
      <c r="NQ9">
        <v>0</v>
      </c>
      <c r="NR9">
        <v>52</v>
      </c>
      <c r="NS9">
        <v>5</v>
      </c>
      <c r="NT9">
        <v>0</v>
      </c>
      <c r="NU9">
        <v>2</v>
      </c>
      <c r="NV9">
        <v>8</v>
      </c>
      <c r="NW9">
        <v>6</v>
      </c>
      <c r="NX9">
        <v>0</v>
      </c>
      <c r="NY9">
        <v>155</v>
      </c>
      <c r="NZ9">
        <v>0</v>
      </c>
      <c r="OA9">
        <v>0</v>
      </c>
      <c r="OB9">
        <v>16</v>
      </c>
      <c r="OC9">
        <v>0</v>
      </c>
      <c r="OD9">
        <v>10</v>
      </c>
      <c r="OE9">
        <v>4</v>
      </c>
      <c r="OF9">
        <v>1</v>
      </c>
      <c r="OG9">
        <v>21</v>
      </c>
      <c r="OH9">
        <v>1</v>
      </c>
      <c r="OI9">
        <v>0</v>
      </c>
      <c r="OJ9">
        <v>0</v>
      </c>
      <c r="OK9">
        <v>16</v>
      </c>
      <c r="OL9">
        <v>8</v>
      </c>
      <c r="OM9">
        <v>22</v>
      </c>
      <c r="ON9">
        <v>12</v>
      </c>
      <c r="OO9">
        <v>42</v>
      </c>
      <c r="OP9">
        <v>1</v>
      </c>
      <c r="OQ9">
        <v>2</v>
      </c>
      <c r="OR9">
        <v>0</v>
      </c>
      <c r="OS9">
        <v>60</v>
      </c>
      <c r="OT9">
        <v>106</v>
      </c>
      <c r="OU9">
        <v>0</v>
      </c>
      <c r="OV9">
        <v>0</v>
      </c>
      <c r="OW9">
        <v>9</v>
      </c>
      <c r="OX9">
        <v>10</v>
      </c>
      <c r="OY9">
        <v>6</v>
      </c>
      <c r="OZ9">
        <v>25</v>
      </c>
      <c r="PA9">
        <v>3</v>
      </c>
      <c r="PB9">
        <v>9</v>
      </c>
      <c r="PC9">
        <v>3</v>
      </c>
      <c r="PD9">
        <v>0</v>
      </c>
      <c r="PE9">
        <v>2</v>
      </c>
      <c r="PF9">
        <v>7</v>
      </c>
      <c r="PG9">
        <v>29</v>
      </c>
      <c r="PH9">
        <v>16</v>
      </c>
      <c r="PI9">
        <v>37</v>
      </c>
      <c r="PJ9">
        <v>12</v>
      </c>
      <c r="PK9">
        <v>37</v>
      </c>
      <c r="PL9">
        <v>51</v>
      </c>
      <c r="PM9">
        <v>56</v>
      </c>
      <c r="PN9">
        <v>0</v>
      </c>
      <c r="PO9">
        <v>2</v>
      </c>
      <c r="PP9">
        <v>10</v>
      </c>
      <c r="PQ9">
        <v>11</v>
      </c>
      <c r="PR9">
        <v>1</v>
      </c>
      <c r="PS9">
        <v>1</v>
      </c>
      <c r="PT9">
        <v>119</v>
      </c>
      <c r="PU9">
        <v>5</v>
      </c>
      <c r="PV9">
        <v>6</v>
      </c>
      <c r="PW9">
        <v>16</v>
      </c>
      <c r="PX9">
        <v>0</v>
      </c>
      <c r="PY9">
        <v>0</v>
      </c>
      <c r="PZ9">
        <v>22</v>
      </c>
      <c r="QA9">
        <v>25</v>
      </c>
      <c r="QB9">
        <v>34</v>
      </c>
      <c r="QC9">
        <v>6</v>
      </c>
      <c r="QD9">
        <v>0</v>
      </c>
      <c r="QE9">
        <v>1</v>
      </c>
      <c r="QF9">
        <v>0</v>
      </c>
      <c r="QG9">
        <v>3</v>
      </c>
      <c r="QH9">
        <v>16</v>
      </c>
      <c r="QI9">
        <v>23</v>
      </c>
      <c r="QJ9">
        <v>0</v>
      </c>
      <c r="QK9">
        <v>53</v>
      </c>
      <c r="QL9">
        <v>0</v>
      </c>
      <c r="QM9">
        <v>0</v>
      </c>
      <c r="QN9">
        <v>0</v>
      </c>
      <c r="QO9">
        <v>34</v>
      </c>
      <c r="QP9">
        <v>1</v>
      </c>
      <c r="QQ9">
        <v>65</v>
      </c>
      <c r="QR9">
        <v>3</v>
      </c>
      <c r="QS9">
        <v>6</v>
      </c>
      <c r="QT9">
        <v>25</v>
      </c>
      <c r="QU9">
        <v>5</v>
      </c>
      <c r="QV9">
        <v>0</v>
      </c>
      <c r="QW9">
        <v>7</v>
      </c>
      <c r="QX9">
        <v>5</v>
      </c>
      <c r="QY9">
        <v>4</v>
      </c>
    </row>
    <row r="10" spans="1:467" x14ac:dyDescent="0.4">
      <c r="A10" t="str">
        <f>"9784088833163"</f>
        <v>9784088833163</v>
      </c>
      <c r="B10" t="str">
        <f>"4088833163"</f>
        <v>4088833163</v>
      </c>
      <c r="C10" t="s">
        <v>1852</v>
      </c>
      <c r="D10" t="s">
        <v>1853</v>
      </c>
      <c r="E10" t="s">
        <v>536</v>
      </c>
      <c r="F10" t="s">
        <v>1854</v>
      </c>
      <c r="G10" t="str">
        <f t="shared" ref="G10:G17" si="0">"9979"</f>
        <v>9979</v>
      </c>
      <c r="H10" t="s">
        <v>1855</v>
      </c>
      <c r="I10" t="s">
        <v>1856</v>
      </c>
      <c r="J10" t="s">
        <v>1856</v>
      </c>
      <c r="L10" s="1">
        <v>44930</v>
      </c>
      <c r="M10">
        <v>480</v>
      </c>
      <c r="N10">
        <v>846</v>
      </c>
      <c r="O10">
        <v>153</v>
      </c>
      <c r="P10">
        <v>846</v>
      </c>
      <c r="Q10">
        <v>153</v>
      </c>
      <c r="R10">
        <v>0</v>
      </c>
      <c r="S10">
        <v>5</v>
      </c>
      <c r="T10">
        <v>16</v>
      </c>
      <c r="U10">
        <v>0</v>
      </c>
      <c r="V10">
        <v>1</v>
      </c>
      <c r="W10">
        <v>9</v>
      </c>
      <c r="X10">
        <v>0</v>
      </c>
      <c r="Y10">
        <v>2</v>
      </c>
      <c r="Z10">
        <v>1</v>
      </c>
      <c r="AA10">
        <v>7</v>
      </c>
      <c r="AB10">
        <v>0</v>
      </c>
      <c r="AC10">
        <v>0</v>
      </c>
      <c r="AD10">
        <v>7</v>
      </c>
      <c r="AE10">
        <v>4</v>
      </c>
      <c r="AF10">
        <v>0</v>
      </c>
      <c r="AG10">
        <v>1</v>
      </c>
      <c r="AH10">
        <v>0</v>
      </c>
      <c r="AI10">
        <v>6</v>
      </c>
      <c r="AJ10">
        <v>1</v>
      </c>
      <c r="AK10">
        <v>3</v>
      </c>
      <c r="AL10">
        <v>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</v>
      </c>
      <c r="AS10">
        <v>2</v>
      </c>
      <c r="AT10">
        <v>1</v>
      </c>
      <c r="AU10">
        <v>1</v>
      </c>
      <c r="AV10">
        <v>25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43</v>
      </c>
      <c r="BC10">
        <v>3</v>
      </c>
      <c r="BD10">
        <v>7</v>
      </c>
      <c r="BE10">
        <v>3</v>
      </c>
      <c r="BF10">
        <v>0</v>
      </c>
      <c r="BG10">
        <v>7</v>
      </c>
      <c r="BH10">
        <v>2</v>
      </c>
      <c r="BI10">
        <v>3</v>
      </c>
      <c r="BJ10">
        <v>0</v>
      </c>
      <c r="BK10">
        <v>0</v>
      </c>
      <c r="BL10">
        <v>0</v>
      </c>
      <c r="BM10">
        <v>4</v>
      </c>
      <c r="BN10">
        <v>3</v>
      </c>
      <c r="BO10">
        <v>0</v>
      </c>
      <c r="BP10">
        <v>2</v>
      </c>
      <c r="BQ10">
        <v>3</v>
      </c>
      <c r="BR10">
        <v>1</v>
      </c>
      <c r="BS10">
        <v>1</v>
      </c>
      <c r="BT10">
        <v>5</v>
      </c>
      <c r="BU10">
        <v>0</v>
      </c>
      <c r="BV10">
        <v>3</v>
      </c>
      <c r="BW10">
        <v>0</v>
      </c>
      <c r="BX10">
        <v>0</v>
      </c>
      <c r="BY10">
        <v>0</v>
      </c>
      <c r="BZ10">
        <v>2</v>
      </c>
      <c r="CA10">
        <v>0</v>
      </c>
      <c r="CB10">
        <v>0</v>
      </c>
      <c r="CC10">
        <v>1</v>
      </c>
      <c r="CD10">
        <v>0</v>
      </c>
      <c r="CE10">
        <v>0</v>
      </c>
      <c r="CF10">
        <v>0</v>
      </c>
      <c r="CG10">
        <v>0</v>
      </c>
      <c r="CH10">
        <v>21</v>
      </c>
      <c r="CI10">
        <v>24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4</v>
      </c>
      <c r="CS10">
        <v>4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1</v>
      </c>
      <c r="DA10">
        <v>0</v>
      </c>
      <c r="DB10">
        <v>2</v>
      </c>
      <c r="DC10">
        <v>0</v>
      </c>
      <c r="DD10">
        <v>0</v>
      </c>
      <c r="DE10">
        <v>1</v>
      </c>
      <c r="DF10">
        <v>0</v>
      </c>
      <c r="DG10">
        <v>0</v>
      </c>
      <c r="DH10">
        <v>0</v>
      </c>
      <c r="DI10">
        <v>0</v>
      </c>
      <c r="DJ10">
        <v>5</v>
      </c>
      <c r="DK10">
        <v>0</v>
      </c>
      <c r="DL10">
        <v>10</v>
      </c>
      <c r="DM10">
        <v>3</v>
      </c>
      <c r="DN10">
        <v>0</v>
      </c>
      <c r="DO10">
        <v>1</v>
      </c>
      <c r="DP10">
        <v>0</v>
      </c>
      <c r="DQ10">
        <v>0</v>
      </c>
      <c r="DR10">
        <v>0</v>
      </c>
      <c r="DS10">
        <v>0</v>
      </c>
      <c r="DT10">
        <v>12</v>
      </c>
      <c r="DU10">
        <v>0</v>
      </c>
      <c r="DV10">
        <v>0</v>
      </c>
      <c r="DW10">
        <v>3</v>
      </c>
      <c r="DX10">
        <v>0</v>
      </c>
      <c r="DY10">
        <v>19</v>
      </c>
      <c r="DZ10">
        <v>0</v>
      </c>
      <c r="EA10">
        <v>0</v>
      </c>
      <c r="EB10">
        <v>2</v>
      </c>
      <c r="EC10">
        <v>3</v>
      </c>
      <c r="ED10">
        <v>2</v>
      </c>
      <c r="EE10">
        <v>1</v>
      </c>
      <c r="EF10">
        <v>2</v>
      </c>
      <c r="EG10">
        <v>3</v>
      </c>
      <c r="EH10">
        <v>3</v>
      </c>
      <c r="EI10">
        <v>0</v>
      </c>
      <c r="EJ10">
        <v>0</v>
      </c>
      <c r="EK10">
        <v>0</v>
      </c>
      <c r="EL10">
        <v>0</v>
      </c>
      <c r="EM10">
        <v>2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6</v>
      </c>
      <c r="EU10">
        <v>5</v>
      </c>
      <c r="EV10">
        <v>0</v>
      </c>
      <c r="EW10">
        <v>0</v>
      </c>
      <c r="EX10">
        <v>0</v>
      </c>
      <c r="EY10">
        <v>1</v>
      </c>
      <c r="EZ10">
        <v>1</v>
      </c>
      <c r="FA10">
        <v>4</v>
      </c>
      <c r="FB10">
        <v>0</v>
      </c>
      <c r="FC10">
        <v>0</v>
      </c>
      <c r="FD10">
        <v>0</v>
      </c>
      <c r="FE10">
        <v>6</v>
      </c>
      <c r="FF10">
        <v>0</v>
      </c>
      <c r="FG10">
        <v>0</v>
      </c>
      <c r="FH10">
        <v>8</v>
      </c>
      <c r="FI10">
        <v>0</v>
      </c>
      <c r="FJ10">
        <v>2</v>
      </c>
      <c r="FK10">
        <v>0</v>
      </c>
      <c r="FL10">
        <v>0</v>
      </c>
      <c r="FM10">
        <v>0</v>
      </c>
      <c r="FN10">
        <v>0</v>
      </c>
      <c r="FO10">
        <v>14</v>
      </c>
      <c r="FP10">
        <v>2</v>
      </c>
      <c r="FQ10">
        <v>0</v>
      </c>
      <c r="FR10">
        <v>0</v>
      </c>
      <c r="FS10">
        <v>0</v>
      </c>
      <c r="FT10">
        <v>15</v>
      </c>
      <c r="FU10">
        <v>0</v>
      </c>
      <c r="FV10">
        <v>0</v>
      </c>
      <c r="FW10">
        <v>0</v>
      </c>
      <c r="FX10">
        <v>1</v>
      </c>
      <c r="FY10">
        <v>10</v>
      </c>
      <c r="FZ10">
        <v>5</v>
      </c>
      <c r="GA10">
        <v>4</v>
      </c>
      <c r="GB10">
        <v>0</v>
      </c>
      <c r="GC10">
        <v>1</v>
      </c>
      <c r="GD10">
        <v>3</v>
      </c>
      <c r="GE10">
        <v>0</v>
      </c>
      <c r="GF10">
        <v>0</v>
      </c>
      <c r="GG10">
        <v>0</v>
      </c>
      <c r="GH10">
        <v>0</v>
      </c>
      <c r="GI10">
        <v>6</v>
      </c>
      <c r="GJ10">
        <v>0</v>
      </c>
      <c r="GK10">
        <v>0</v>
      </c>
      <c r="GL10">
        <v>0</v>
      </c>
      <c r="GM10">
        <v>0</v>
      </c>
      <c r="GN10">
        <v>13</v>
      </c>
      <c r="GO10">
        <v>1</v>
      </c>
      <c r="GP10">
        <v>1</v>
      </c>
      <c r="GQ10">
        <v>6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</v>
      </c>
      <c r="GZ10">
        <v>0</v>
      </c>
      <c r="HA10">
        <v>1</v>
      </c>
      <c r="HB10">
        <v>0</v>
      </c>
      <c r="HC10">
        <v>0</v>
      </c>
      <c r="HD10">
        <v>0</v>
      </c>
      <c r="HE10">
        <v>2</v>
      </c>
      <c r="HF10">
        <v>2</v>
      </c>
      <c r="HG10">
        <v>0</v>
      </c>
      <c r="HH10">
        <v>0</v>
      </c>
      <c r="HI10">
        <v>0</v>
      </c>
      <c r="HJ10">
        <v>0</v>
      </c>
      <c r="HK10">
        <v>3</v>
      </c>
      <c r="HL10">
        <v>0</v>
      </c>
      <c r="HM10">
        <v>0</v>
      </c>
      <c r="HN10">
        <v>0</v>
      </c>
      <c r="HO10">
        <v>0</v>
      </c>
      <c r="HP10">
        <v>3</v>
      </c>
      <c r="HQ10">
        <v>0</v>
      </c>
      <c r="HR10">
        <v>0</v>
      </c>
      <c r="HS10">
        <v>0</v>
      </c>
      <c r="HT10">
        <v>1</v>
      </c>
      <c r="HU10">
        <v>8</v>
      </c>
      <c r="HV10">
        <v>17</v>
      </c>
      <c r="HW10">
        <v>0</v>
      </c>
      <c r="HX10">
        <v>0</v>
      </c>
      <c r="HY10">
        <v>2</v>
      </c>
      <c r="HZ10">
        <v>0</v>
      </c>
      <c r="IA10">
        <v>0</v>
      </c>
      <c r="IB10">
        <v>0</v>
      </c>
      <c r="IC10">
        <v>0</v>
      </c>
      <c r="ID10">
        <v>3</v>
      </c>
      <c r="IE10">
        <v>0</v>
      </c>
      <c r="IF10">
        <v>5</v>
      </c>
      <c r="IG10">
        <v>1</v>
      </c>
      <c r="IH10">
        <v>0</v>
      </c>
      <c r="II10">
        <v>0</v>
      </c>
      <c r="IJ10">
        <v>0</v>
      </c>
      <c r="IK10">
        <v>0</v>
      </c>
      <c r="IL10">
        <v>2</v>
      </c>
      <c r="IM10">
        <v>0</v>
      </c>
      <c r="IN10">
        <v>5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4</v>
      </c>
      <c r="IU10">
        <v>0</v>
      </c>
      <c r="IV10">
        <v>6</v>
      </c>
      <c r="IW10">
        <v>1</v>
      </c>
      <c r="IX10">
        <v>0</v>
      </c>
      <c r="IY10">
        <v>11</v>
      </c>
      <c r="IZ10">
        <v>2</v>
      </c>
      <c r="JA10">
        <v>0</v>
      </c>
      <c r="JB10">
        <v>0</v>
      </c>
      <c r="JC10">
        <v>1</v>
      </c>
      <c r="JD10">
        <v>0</v>
      </c>
      <c r="JE10">
        <v>0</v>
      </c>
      <c r="JF10">
        <v>45</v>
      </c>
      <c r="JG10">
        <v>3</v>
      </c>
      <c r="JH10">
        <v>2</v>
      </c>
      <c r="JI10">
        <v>0</v>
      </c>
      <c r="JJ10">
        <v>0</v>
      </c>
      <c r="JK10">
        <v>0</v>
      </c>
      <c r="JL10">
        <v>1</v>
      </c>
      <c r="JM10">
        <v>1</v>
      </c>
      <c r="JN10">
        <v>1</v>
      </c>
      <c r="JO10">
        <v>1</v>
      </c>
      <c r="JP10">
        <v>3</v>
      </c>
      <c r="JQ10">
        <v>20</v>
      </c>
      <c r="JR10">
        <v>25</v>
      </c>
      <c r="JS10">
        <v>0</v>
      </c>
      <c r="JT10">
        <v>0</v>
      </c>
      <c r="JU10">
        <v>0</v>
      </c>
      <c r="JV10">
        <v>0</v>
      </c>
      <c r="JW10">
        <v>1</v>
      </c>
      <c r="JX10">
        <v>1</v>
      </c>
      <c r="JY10">
        <v>0</v>
      </c>
      <c r="JZ10">
        <v>0</v>
      </c>
      <c r="KA10">
        <v>0</v>
      </c>
      <c r="KB10">
        <v>56</v>
      </c>
      <c r="KC10">
        <v>0</v>
      </c>
      <c r="KD10">
        <v>0</v>
      </c>
      <c r="KE10">
        <v>0</v>
      </c>
      <c r="KF10">
        <v>6</v>
      </c>
      <c r="KG10">
        <v>0</v>
      </c>
      <c r="KH10">
        <v>0</v>
      </c>
      <c r="KI10">
        <v>0</v>
      </c>
      <c r="KJ10">
        <v>0</v>
      </c>
      <c r="KK10">
        <v>1</v>
      </c>
      <c r="KL10">
        <v>0</v>
      </c>
      <c r="KM10">
        <v>0</v>
      </c>
      <c r="KN10">
        <v>2</v>
      </c>
      <c r="KO10">
        <v>0</v>
      </c>
      <c r="KP10">
        <v>1</v>
      </c>
      <c r="KQ10">
        <v>13</v>
      </c>
      <c r="KR10">
        <v>0</v>
      </c>
      <c r="KS10">
        <v>0</v>
      </c>
      <c r="KT10">
        <v>0</v>
      </c>
      <c r="KU10">
        <v>0</v>
      </c>
      <c r="KV10">
        <v>11</v>
      </c>
      <c r="KW10">
        <v>4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1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2</v>
      </c>
      <c r="LS10">
        <v>2</v>
      </c>
      <c r="LT10">
        <v>0</v>
      </c>
      <c r="LU10">
        <v>0</v>
      </c>
      <c r="LV10">
        <v>8</v>
      </c>
      <c r="LW10">
        <v>13</v>
      </c>
      <c r="LX10">
        <v>3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8</v>
      </c>
      <c r="NA10">
        <v>0</v>
      </c>
      <c r="NB10">
        <v>0</v>
      </c>
      <c r="NC10">
        <v>2</v>
      </c>
      <c r="ND10">
        <v>0</v>
      </c>
      <c r="NE10">
        <v>10</v>
      </c>
      <c r="NF10">
        <v>0</v>
      </c>
      <c r="NG10">
        <v>0</v>
      </c>
      <c r="NH10">
        <v>0</v>
      </c>
      <c r="NI10">
        <v>5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15</v>
      </c>
      <c r="NZ10">
        <v>0</v>
      </c>
      <c r="OA10">
        <v>0</v>
      </c>
      <c r="OB10">
        <v>1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1</v>
      </c>
      <c r="OO10">
        <v>1</v>
      </c>
      <c r="OP10">
        <v>0</v>
      </c>
      <c r="OQ10">
        <v>0</v>
      </c>
      <c r="OR10">
        <v>0</v>
      </c>
      <c r="OS10">
        <v>6</v>
      </c>
      <c r="OT10">
        <v>5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8</v>
      </c>
      <c r="PH10">
        <v>3</v>
      </c>
      <c r="PI10">
        <v>1</v>
      </c>
      <c r="PJ10">
        <v>1</v>
      </c>
      <c r="PK10">
        <v>2</v>
      </c>
      <c r="PL10">
        <v>2</v>
      </c>
      <c r="PM10">
        <v>9</v>
      </c>
      <c r="PN10">
        <v>0</v>
      </c>
      <c r="PO10">
        <v>0</v>
      </c>
      <c r="PP10">
        <v>0</v>
      </c>
      <c r="PQ10">
        <v>3</v>
      </c>
      <c r="PR10">
        <v>0</v>
      </c>
      <c r="PS10">
        <v>0</v>
      </c>
      <c r="PT10">
        <v>1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3</v>
      </c>
      <c r="QA10">
        <v>2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2</v>
      </c>
      <c r="QL10">
        <v>0</v>
      </c>
      <c r="QM10">
        <v>0</v>
      </c>
      <c r="QN10">
        <v>0</v>
      </c>
      <c r="QO10">
        <v>3</v>
      </c>
      <c r="QP10">
        <v>0</v>
      </c>
      <c r="QQ10">
        <v>7</v>
      </c>
      <c r="QR10">
        <v>0</v>
      </c>
      <c r="QS10">
        <v>0</v>
      </c>
      <c r="QT10">
        <v>3</v>
      </c>
      <c r="QU10">
        <v>0</v>
      </c>
      <c r="QV10">
        <v>0</v>
      </c>
      <c r="QW10">
        <v>1</v>
      </c>
      <c r="QX10">
        <v>0</v>
      </c>
      <c r="QY10">
        <v>0</v>
      </c>
    </row>
    <row r="11" spans="1:467" x14ac:dyDescent="0.4">
      <c r="A11" t="str">
        <f>"9784088925684"</f>
        <v>9784088925684</v>
      </c>
      <c r="B11" t="str">
        <f>"4088925688"</f>
        <v>4088925688</v>
      </c>
      <c r="C11" t="s">
        <v>1857</v>
      </c>
      <c r="D11" t="s">
        <v>1858</v>
      </c>
      <c r="E11" t="s">
        <v>536</v>
      </c>
      <c r="F11" t="s">
        <v>1859</v>
      </c>
      <c r="G11" t="str">
        <f t="shared" si="0"/>
        <v>9979</v>
      </c>
      <c r="H11" t="s">
        <v>1855</v>
      </c>
      <c r="I11" t="s">
        <v>1856</v>
      </c>
      <c r="J11" t="s">
        <v>1856</v>
      </c>
      <c r="L11" s="1">
        <v>44943</v>
      </c>
      <c r="M11">
        <v>650</v>
      </c>
      <c r="N11">
        <v>687</v>
      </c>
      <c r="O11">
        <v>165</v>
      </c>
      <c r="P11">
        <v>687</v>
      </c>
      <c r="Q11">
        <v>165</v>
      </c>
      <c r="R11">
        <v>0</v>
      </c>
      <c r="S11">
        <v>2</v>
      </c>
      <c r="T11">
        <v>11</v>
      </c>
      <c r="U11">
        <v>0</v>
      </c>
      <c r="V11">
        <v>1</v>
      </c>
      <c r="W11">
        <v>1</v>
      </c>
      <c r="X11">
        <v>0</v>
      </c>
      <c r="Y11">
        <v>0</v>
      </c>
      <c r="Z11">
        <v>1</v>
      </c>
      <c r="AA11">
        <v>0</v>
      </c>
      <c r="AB11">
        <v>1</v>
      </c>
      <c r="AC11">
        <v>0</v>
      </c>
      <c r="AD11">
        <v>1</v>
      </c>
      <c r="AE11">
        <v>0</v>
      </c>
      <c r="AF11">
        <v>0</v>
      </c>
      <c r="AG11">
        <v>0</v>
      </c>
      <c r="AH11">
        <v>0</v>
      </c>
      <c r="AI11">
        <v>2</v>
      </c>
      <c r="AJ11">
        <v>1</v>
      </c>
      <c r="AK11">
        <v>4</v>
      </c>
      <c r="AL11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10</v>
      </c>
      <c r="AW11">
        <v>3</v>
      </c>
      <c r="AX11">
        <v>0</v>
      </c>
      <c r="AY11">
        <v>0</v>
      </c>
      <c r="AZ11">
        <v>0</v>
      </c>
      <c r="BA11">
        <v>0</v>
      </c>
      <c r="BB11">
        <v>15</v>
      </c>
      <c r="BC11">
        <v>0</v>
      </c>
      <c r="BD11">
        <v>3</v>
      </c>
      <c r="BE11">
        <v>5</v>
      </c>
      <c r="BF11">
        <v>0</v>
      </c>
      <c r="BG11">
        <v>4</v>
      </c>
      <c r="BH11">
        <v>0</v>
      </c>
      <c r="BI11">
        <v>2</v>
      </c>
      <c r="BJ11">
        <v>0</v>
      </c>
      <c r="BK11">
        <v>0</v>
      </c>
      <c r="BL11">
        <v>2</v>
      </c>
      <c r="BM11">
        <v>4</v>
      </c>
      <c r="BN11">
        <v>5</v>
      </c>
      <c r="BO11">
        <v>1</v>
      </c>
      <c r="BP11">
        <v>8</v>
      </c>
      <c r="BQ11">
        <v>2</v>
      </c>
      <c r="BR11">
        <v>5</v>
      </c>
      <c r="BS11">
        <v>2</v>
      </c>
      <c r="BT11">
        <v>0</v>
      </c>
      <c r="BU11">
        <v>0</v>
      </c>
      <c r="BV11">
        <v>2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15</v>
      </c>
      <c r="CI11">
        <v>17</v>
      </c>
      <c r="CJ11">
        <v>0</v>
      </c>
      <c r="CK11">
        <v>2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3</v>
      </c>
      <c r="CR11">
        <v>4</v>
      </c>
      <c r="CS11">
        <v>2</v>
      </c>
      <c r="CT11">
        <v>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2</v>
      </c>
      <c r="DA11">
        <v>0</v>
      </c>
      <c r="DB11">
        <v>9</v>
      </c>
      <c r="DC11">
        <v>3</v>
      </c>
      <c r="DD11">
        <v>0</v>
      </c>
      <c r="DE11">
        <v>1</v>
      </c>
      <c r="DF11">
        <v>5</v>
      </c>
      <c r="DG11">
        <v>0</v>
      </c>
      <c r="DH11">
        <v>0</v>
      </c>
      <c r="DI11">
        <v>0</v>
      </c>
      <c r="DJ11">
        <v>3</v>
      </c>
      <c r="DK11">
        <v>0</v>
      </c>
      <c r="DL11">
        <v>4</v>
      </c>
      <c r="DM11">
        <v>13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5</v>
      </c>
      <c r="DU11">
        <v>0</v>
      </c>
      <c r="DV11">
        <v>0</v>
      </c>
      <c r="DW11">
        <v>4</v>
      </c>
      <c r="DX11">
        <v>6</v>
      </c>
      <c r="DY11">
        <v>17</v>
      </c>
      <c r="DZ11">
        <v>0</v>
      </c>
      <c r="EA11">
        <v>1</v>
      </c>
      <c r="EB11">
        <v>2</v>
      </c>
      <c r="EC11">
        <v>2</v>
      </c>
      <c r="ED11">
        <v>2</v>
      </c>
      <c r="EE11">
        <v>6</v>
      </c>
      <c r="EF11">
        <v>3</v>
      </c>
      <c r="EG11">
        <v>5</v>
      </c>
      <c r="EH11">
        <v>1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1</v>
      </c>
      <c r="EQ11">
        <v>0</v>
      </c>
      <c r="ER11">
        <v>0</v>
      </c>
      <c r="ES11">
        <v>0</v>
      </c>
      <c r="ET11">
        <v>4</v>
      </c>
      <c r="EU11">
        <v>5</v>
      </c>
      <c r="EV11">
        <v>1</v>
      </c>
      <c r="EW11">
        <v>0</v>
      </c>
      <c r="EX11">
        <v>0</v>
      </c>
      <c r="EY11">
        <v>0</v>
      </c>
      <c r="EZ11">
        <v>1</v>
      </c>
      <c r="FA11">
        <v>0</v>
      </c>
      <c r="FB11">
        <v>1</v>
      </c>
      <c r="FC11">
        <v>0</v>
      </c>
      <c r="FD11">
        <v>0</v>
      </c>
      <c r="FE11">
        <v>8</v>
      </c>
      <c r="FF11">
        <v>2</v>
      </c>
      <c r="FG11">
        <v>0</v>
      </c>
      <c r="FH11">
        <v>4</v>
      </c>
      <c r="FI11">
        <v>0</v>
      </c>
      <c r="FJ11">
        <v>2</v>
      </c>
      <c r="FK11">
        <v>0</v>
      </c>
      <c r="FL11">
        <v>0</v>
      </c>
      <c r="FM11">
        <v>0</v>
      </c>
      <c r="FN11">
        <v>0</v>
      </c>
      <c r="FO11">
        <v>8</v>
      </c>
      <c r="FP11">
        <v>1</v>
      </c>
      <c r="FQ11">
        <v>0</v>
      </c>
      <c r="FR11">
        <v>0</v>
      </c>
      <c r="FS11">
        <v>0</v>
      </c>
      <c r="FT11">
        <v>3</v>
      </c>
      <c r="FU11">
        <v>0</v>
      </c>
      <c r="FV11">
        <v>0</v>
      </c>
      <c r="FW11">
        <v>0</v>
      </c>
      <c r="FX11">
        <v>0</v>
      </c>
      <c r="FY11">
        <v>2</v>
      </c>
      <c r="FZ11">
        <v>3</v>
      </c>
      <c r="GA11">
        <v>6</v>
      </c>
      <c r="GB11">
        <v>0</v>
      </c>
      <c r="GC11">
        <v>7</v>
      </c>
      <c r="GD11">
        <v>1</v>
      </c>
      <c r="GE11">
        <v>0</v>
      </c>
      <c r="GF11">
        <v>0</v>
      </c>
      <c r="GG11">
        <v>3</v>
      </c>
      <c r="GH11">
        <v>0</v>
      </c>
      <c r="GI11">
        <v>2</v>
      </c>
      <c r="GJ11">
        <v>0</v>
      </c>
      <c r="GK11">
        <v>2</v>
      </c>
      <c r="GL11">
        <v>0</v>
      </c>
      <c r="GM11">
        <v>0</v>
      </c>
      <c r="GN11">
        <v>6</v>
      </c>
      <c r="GO11">
        <v>0</v>
      </c>
      <c r="GP11">
        <v>2</v>
      </c>
      <c r="GQ11">
        <v>4</v>
      </c>
      <c r="GR11">
        <v>2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3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3</v>
      </c>
      <c r="HF11">
        <v>0</v>
      </c>
      <c r="HG11">
        <v>0</v>
      </c>
      <c r="HH11">
        <v>3</v>
      </c>
      <c r="HI11">
        <v>0</v>
      </c>
      <c r="HJ11">
        <v>0</v>
      </c>
      <c r="HK11">
        <v>1</v>
      </c>
      <c r="HL11">
        <v>3</v>
      </c>
      <c r="HM11">
        <v>1</v>
      </c>
      <c r="HN11">
        <v>1</v>
      </c>
      <c r="HO11">
        <v>0</v>
      </c>
      <c r="HP11">
        <v>1</v>
      </c>
      <c r="HQ11">
        <v>0</v>
      </c>
      <c r="HR11">
        <v>0</v>
      </c>
      <c r="HS11">
        <v>0</v>
      </c>
      <c r="HT11">
        <v>1</v>
      </c>
      <c r="HU11">
        <v>6</v>
      </c>
      <c r="HV11">
        <v>15</v>
      </c>
      <c r="HW11">
        <v>1</v>
      </c>
      <c r="HX11">
        <v>0</v>
      </c>
      <c r="HY11">
        <v>4</v>
      </c>
      <c r="HZ11">
        <v>0</v>
      </c>
      <c r="IA11">
        <v>0</v>
      </c>
      <c r="IB11">
        <v>0</v>
      </c>
      <c r="IC11">
        <v>3</v>
      </c>
      <c r="ID11">
        <v>4</v>
      </c>
      <c r="IE11">
        <v>0</v>
      </c>
      <c r="IF11">
        <v>1</v>
      </c>
      <c r="IG11">
        <v>3</v>
      </c>
      <c r="IH11">
        <v>1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4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8</v>
      </c>
      <c r="IU11">
        <v>0</v>
      </c>
      <c r="IV11">
        <v>5</v>
      </c>
      <c r="IW11">
        <v>3</v>
      </c>
      <c r="IX11">
        <v>0</v>
      </c>
      <c r="IY11">
        <v>2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29</v>
      </c>
      <c r="JG11">
        <v>5</v>
      </c>
      <c r="JH11">
        <v>4</v>
      </c>
      <c r="JI11">
        <v>2</v>
      </c>
      <c r="JJ11">
        <v>0</v>
      </c>
      <c r="JK11">
        <v>0</v>
      </c>
      <c r="JL11">
        <v>1</v>
      </c>
      <c r="JM11">
        <v>10</v>
      </c>
      <c r="JN11">
        <v>5</v>
      </c>
      <c r="JO11">
        <v>0</v>
      </c>
      <c r="JP11">
        <v>2</v>
      </c>
      <c r="JQ11">
        <v>19</v>
      </c>
      <c r="JR11">
        <v>11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1</v>
      </c>
      <c r="JZ11">
        <v>0</v>
      </c>
      <c r="KA11">
        <v>0</v>
      </c>
      <c r="KB11">
        <v>15</v>
      </c>
      <c r="KC11">
        <v>0</v>
      </c>
      <c r="KD11">
        <v>0</v>
      </c>
      <c r="KE11">
        <v>1</v>
      </c>
      <c r="KF11">
        <v>7</v>
      </c>
      <c r="KG11">
        <v>1</v>
      </c>
      <c r="KH11">
        <v>0</v>
      </c>
      <c r="KI11">
        <v>0</v>
      </c>
      <c r="KJ11">
        <v>0</v>
      </c>
      <c r="KK11">
        <v>2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6</v>
      </c>
      <c r="KR11">
        <v>2</v>
      </c>
      <c r="KS11">
        <v>0</v>
      </c>
      <c r="KT11">
        <v>0</v>
      </c>
      <c r="KU11">
        <v>0</v>
      </c>
      <c r="KV11">
        <v>2</v>
      </c>
      <c r="KW11">
        <v>5</v>
      </c>
      <c r="KX11">
        <v>0</v>
      </c>
      <c r="KY11">
        <v>0</v>
      </c>
      <c r="KZ11">
        <v>3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1</v>
      </c>
      <c r="LI11">
        <v>0</v>
      </c>
      <c r="LJ11">
        <v>4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5</v>
      </c>
      <c r="LQ11">
        <v>0</v>
      </c>
      <c r="LR11">
        <v>3</v>
      </c>
      <c r="LS11">
        <v>0</v>
      </c>
      <c r="LT11">
        <v>0</v>
      </c>
      <c r="LU11">
        <v>0</v>
      </c>
      <c r="LV11">
        <v>0</v>
      </c>
      <c r="LW11">
        <v>10</v>
      </c>
      <c r="LX11">
        <v>5</v>
      </c>
      <c r="LY11">
        <v>0</v>
      </c>
      <c r="LZ11">
        <v>1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2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3</v>
      </c>
      <c r="MX11">
        <v>0</v>
      </c>
      <c r="MY11">
        <v>0</v>
      </c>
      <c r="MZ11">
        <v>4</v>
      </c>
      <c r="NA11">
        <v>3</v>
      </c>
      <c r="NB11">
        <v>1</v>
      </c>
      <c r="NC11">
        <v>0</v>
      </c>
      <c r="ND11">
        <v>0</v>
      </c>
      <c r="NE11">
        <v>12</v>
      </c>
      <c r="NF11">
        <v>3</v>
      </c>
      <c r="NG11">
        <v>0</v>
      </c>
      <c r="NH11">
        <v>0</v>
      </c>
      <c r="NI11">
        <v>0</v>
      </c>
      <c r="NJ11">
        <v>2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11</v>
      </c>
      <c r="NZ11">
        <v>0</v>
      </c>
      <c r="OA11">
        <v>0</v>
      </c>
      <c r="OB11">
        <v>1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1</v>
      </c>
      <c r="OL11">
        <v>0</v>
      </c>
      <c r="OM11">
        <v>3</v>
      </c>
      <c r="ON11">
        <v>1</v>
      </c>
      <c r="OO11">
        <v>2</v>
      </c>
      <c r="OP11">
        <v>1</v>
      </c>
      <c r="OQ11">
        <v>1</v>
      </c>
      <c r="OR11">
        <v>0</v>
      </c>
      <c r="OS11">
        <v>3</v>
      </c>
      <c r="OT11">
        <v>11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7</v>
      </c>
      <c r="PH11">
        <v>4</v>
      </c>
      <c r="PI11">
        <v>0</v>
      </c>
      <c r="PJ11">
        <v>2</v>
      </c>
      <c r="PK11">
        <v>2</v>
      </c>
      <c r="PL11">
        <v>1</v>
      </c>
      <c r="PM11">
        <v>7</v>
      </c>
      <c r="PN11">
        <v>0</v>
      </c>
      <c r="PO11">
        <v>0</v>
      </c>
      <c r="PP11">
        <v>5</v>
      </c>
      <c r="PQ11">
        <v>0</v>
      </c>
      <c r="PR11">
        <v>0</v>
      </c>
      <c r="PS11">
        <v>0</v>
      </c>
      <c r="PT11">
        <v>2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5</v>
      </c>
      <c r="QA11">
        <v>3</v>
      </c>
      <c r="QB11">
        <v>6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3</v>
      </c>
      <c r="QI11">
        <v>1</v>
      </c>
      <c r="QJ11">
        <v>0</v>
      </c>
      <c r="QK11">
        <v>6</v>
      </c>
      <c r="QL11">
        <v>0</v>
      </c>
      <c r="QM11">
        <v>0</v>
      </c>
      <c r="QN11">
        <v>0</v>
      </c>
      <c r="QO11">
        <v>0</v>
      </c>
      <c r="QP11">
        <v>1</v>
      </c>
      <c r="QQ11">
        <v>6</v>
      </c>
      <c r="QR11">
        <v>0</v>
      </c>
      <c r="QS11">
        <v>0</v>
      </c>
      <c r="QT11">
        <v>4</v>
      </c>
      <c r="QU11">
        <v>0</v>
      </c>
      <c r="QV11">
        <v>0</v>
      </c>
      <c r="QW11">
        <v>0</v>
      </c>
      <c r="QX11">
        <v>0</v>
      </c>
      <c r="QY11">
        <v>0</v>
      </c>
    </row>
    <row r="12" spans="1:467" x14ac:dyDescent="0.4">
      <c r="A12" t="str">
        <f>"9784065303443"</f>
        <v>9784065303443</v>
      </c>
      <c r="B12" t="str">
        <f>"4065303443"</f>
        <v>4065303443</v>
      </c>
      <c r="C12" t="s">
        <v>1860</v>
      </c>
      <c r="D12" t="s">
        <v>1861</v>
      </c>
      <c r="E12" t="s">
        <v>548</v>
      </c>
      <c r="F12" t="s">
        <v>1862</v>
      </c>
      <c r="G12" t="str">
        <f t="shared" si="0"/>
        <v>9979</v>
      </c>
      <c r="H12" t="s">
        <v>1855</v>
      </c>
      <c r="I12" t="s">
        <v>1856</v>
      </c>
      <c r="J12" t="s">
        <v>1856</v>
      </c>
      <c r="L12" s="1">
        <v>44940</v>
      </c>
      <c r="M12">
        <v>480</v>
      </c>
      <c r="N12">
        <v>540</v>
      </c>
      <c r="O12">
        <v>144</v>
      </c>
      <c r="P12">
        <v>540</v>
      </c>
      <c r="Q12">
        <v>144</v>
      </c>
      <c r="R12">
        <v>0</v>
      </c>
      <c r="S12">
        <v>3</v>
      </c>
      <c r="T12">
        <v>2</v>
      </c>
      <c r="U12">
        <v>0</v>
      </c>
      <c r="V12">
        <v>0</v>
      </c>
      <c r="W12">
        <v>6</v>
      </c>
      <c r="X12">
        <v>0</v>
      </c>
      <c r="Y12">
        <v>5</v>
      </c>
      <c r="Z12">
        <v>6</v>
      </c>
      <c r="AA12">
        <v>3</v>
      </c>
      <c r="AB12">
        <v>2</v>
      </c>
      <c r="AC12">
        <v>0</v>
      </c>
      <c r="AD12">
        <v>8</v>
      </c>
      <c r="AE12">
        <v>1</v>
      </c>
      <c r="AF12">
        <v>0</v>
      </c>
      <c r="AG12">
        <v>0</v>
      </c>
      <c r="AH12">
        <v>0</v>
      </c>
      <c r="AI12">
        <v>5</v>
      </c>
      <c r="AJ12">
        <v>4</v>
      </c>
      <c r="AK12">
        <v>5</v>
      </c>
      <c r="AL12">
        <v>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2</v>
      </c>
      <c r="AU12">
        <v>0</v>
      </c>
      <c r="AV12">
        <v>13</v>
      </c>
      <c r="AW12">
        <v>1</v>
      </c>
      <c r="AX12">
        <v>0</v>
      </c>
      <c r="AY12">
        <v>0</v>
      </c>
      <c r="AZ12">
        <v>0</v>
      </c>
      <c r="BA12">
        <v>0</v>
      </c>
      <c r="BB12">
        <v>15</v>
      </c>
      <c r="BC12">
        <v>0</v>
      </c>
      <c r="BD12">
        <v>5</v>
      </c>
      <c r="BE12">
        <v>3</v>
      </c>
      <c r="BF12">
        <v>0</v>
      </c>
      <c r="BG12">
        <v>4</v>
      </c>
      <c r="BH12">
        <v>1</v>
      </c>
      <c r="BI12">
        <v>2</v>
      </c>
      <c r="BJ12">
        <v>0</v>
      </c>
      <c r="BK12">
        <v>0</v>
      </c>
      <c r="BL12">
        <v>0</v>
      </c>
      <c r="BM12">
        <v>5</v>
      </c>
      <c r="BN12">
        <v>1</v>
      </c>
      <c r="BO12">
        <v>0</v>
      </c>
      <c r="BP12">
        <v>0</v>
      </c>
      <c r="BQ12">
        <v>0</v>
      </c>
      <c r="BR12">
        <v>1</v>
      </c>
      <c r="BS12">
        <v>0</v>
      </c>
      <c r="BT12">
        <v>2</v>
      </c>
      <c r="BU12">
        <v>0</v>
      </c>
      <c r="BV12">
        <v>3</v>
      </c>
      <c r="BW12">
        <v>0</v>
      </c>
      <c r="BX12">
        <v>0</v>
      </c>
      <c r="BY12">
        <v>2</v>
      </c>
      <c r="BZ12">
        <v>0</v>
      </c>
      <c r="CA12">
        <v>3</v>
      </c>
      <c r="CB12">
        <v>0</v>
      </c>
      <c r="CC12">
        <v>3</v>
      </c>
      <c r="CD12">
        <v>0</v>
      </c>
      <c r="CE12">
        <v>0</v>
      </c>
      <c r="CF12">
        <v>0</v>
      </c>
      <c r="CG12">
        <v>0</v>
      </c>
      <c r="CH12">
        <v>1</v>
      </c>
      <c r="CI12">
        <v>2</v>
      </c>
      <c r="CJ12">
        <v>0</v>
      </c>
      <c r="CK12">
        <v>0</v>
      </c>
      <c r="CL12">
        <v>0</v>
      </c>
      <c r="CM12">
        <v>0</v>
      </c>
      <c r="CN12">
        <v>2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1</v>
      </c>
      <c r="CU12">
        <v>0</v>
      </c>
      <c r="CV12">
        <v>0</v>
      </c>
      <c r="CW12">
        <v>0</v>
      </c>
      <c r="CX12">
        <v>1</v>
      </c>
      <c r="CY12">
        <v>0</v>
      </c>
      <c r="CZ12">
        <v>1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6</v>
      </c>
      <c r="DM12">
        <v>5</v>
      </c>
      <c r="DN12">
        <v>0</v>
      </c>
      <c r="DO12">
        <v>1</v>
      </c>
      <c r="DP12">
        <v>0</v>
      </c>
      <c r="DQ12">
        <v>0</v>
      </c>
      <c r="DR12">
        <v>0</v>
      </c>
      <c r="DS12">
        <v>0</v>
      </c>
      <c r="DT12">
        <v>2</v>
      </c>
      <c r="DU12">
        <v>0</v>
      </c>
      <c r="DV12">
        <v>0</v>
      </c>
      <c r="DW12">
        <v>4</v>
      </c>
      <c r="DX12">
        <v>0</v>
      </c>
      <c r="DY12">
        <v>4</v>
      </c>
      <c r="DZ12">
        <v>1</v>
      </c>
      <c r="EA12">
        <v>2</v>
      </c>
      <c r="EB12">
        <v>4</v>
      </c>
      <c r="EC12">
        <v>2</v>
      </c>
      <c r="ED12">
        <v>0</v>
      </c>
      <c r="EE12">
        <v>1</v>
      </c>
      <c r="EF12">
        <v>0</v>
      </c>
      <c r="EG12">
        <v>2</v>
      </c>
      <c r="EH12">
        <v>1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8</v>
      </c>
      <c r="EU12">
        <v>2</v>
      </c>
      <c r="EV12">
        <v>2</v>
      </c>
      <c r="EW12">
        <v>0</v>
      </c>
      <c r="EX12">
        <v>0</v>
      </c>
      <c r="EY12">
        <v>0</v>
      </c>
      <c r="EZ12">
        <v>0</v>
      </c>
      <c r="FA12">
        <v>2</v>
      </c>
      <c r="FB12">
        <v>0</v>
      </c>
      <c r="FC12">
        <v>0</v>
      </c>
      <c r="FD12">
        <v>0</v>
      </c>
      <c r="FE12">
        <v>3</v>
      </c>
      <c r="FF12">
        <v>0</v>
      </c>
      <c r="FG12">
        <v>0</v>
      </c>
      <c r="FH12">
        <v>3</v>
      </c>
      <c r="FI12">
        <v>0</v>
      </c>
      <c r="FJ12">
        <v>2</v>
      </c>
      <c r="FK12">
        <v>0</v>
      </c>
      <c r="FL12">
        <v>0</v>
      </c>
      <c r="FM12">
        <v>0</v>
      </c>
      <c r="FN12">
        <v>0</v>
      </c>
      <c r="FO12">
        <v>8</v>
      </c>
      <c r="FP12">
        <v>1</v>
      </c>
      <c r="FQ12">
        <v>0</v>
      </c>
      <c r="FR12">
        <v>0</v>
      </c>
      <c r="FS12">
        <v>0</v>
      </c>
      <c r="FT12">
        <v>3</v>
      </c>
      <c r="FU12">
        <v>0</v>
      </c>
      <c r="FV12">
        <v>1</v>
      </c>
      <c r="FW12">
        <v>0</v>
      </c>
      <c r="FX12">
        <v>0</v>
      </c>
      <c r="FY12">
        <v>0</v>
      </c>
      <c r="FZ12">
        <v>2</v>
      </c>
      <c r="GA12">
        <v>0</v>
      </c>
      <c r="GB12">
        <v>0</v>
      </c>
      <c r="GC12">
        <v>1</v>
      </c>
      <c r="GD12">
        <v>6</v>
      </c>
      <c r="GE12">
        <v>0</v>
      </c>
      <c r="GF12">
        <v>0</v>
      </c>
      <c r="GG12">
        <v>0</v>
      </c>
      <c r="GH12">
        <v>0</v>
      </c>
      <c r="GI12">
        <v>2</v>
      </c>
      <c r="GJ12">
        <v>0</v>
      </c>
      <c r="GK12">
        <v>0</v>
      </c>
      <c r="GL12">
        <v>0</v>
      </c>
      <c r="GM12">
        <v>0</v>
      </c>
      <c r="GN12">
        <v>12</v>
      </c>
      <c r="GO12">
        <v>0</v>
      </c>
      <c r="GP12">
        <v>0</v>
      </c>
      <c r="GQ12">
        <v>1</v>
      </c>
      <c r="GR12">
        <v>3</v>
      </c>
      <c r="GS12">
        <v>0</v>
      </c>
      <c r="GT12">
        <v>1</v>
      </c>
      <c r="GU12">
        <v>0</v>
      </c>
      <c r="GV12">
        <v>0</v>
      </c>
      <c r="GW12">
        <v>0</v>
      </c>
      <c r="GX12">
        <v>0</v>
      </c>
      <c r="GY12">
        <v>1</v>
      </c>
      <c r="GZ12">
        <v>0</v>
      </c>
      <c r="HA12">
        <v>0</v>
      </c>
      <c r="HB12">
        <v>0</v>
      </c>
      <c r="HC12">
        <v>0</v>
      </c>
      <c r="HD12">
        <v>1</v>
      </c>
      <c r="HE12">
        <v>0</v>
      </c>
      <c r="HF12">
        <v>1</v>
      </c>
      <c r="HG12">
        <v>0</v>
      </c>
      <c r="HH12">
        <v>1</v>
      </c>
      <c r="HI12">
        <v>0</v>
      </c>
      <c r="HJ12">
        <v>0</v>
      </c>
      <c r="HK12">
        <v>0</v>
      </c>
      <c r="HL12">
        <v>0</v>
      </c>
      <c r="HM12">
        <v>1</v>
      </c>
      <c r="HN12">
        <v>0</v>
      </c>
      <c r="HO12">
        <v>0</v>
      </c>
      <c r="HP12">
        <v>5</v>
      </c>
      <c r="HQ12">
        <v>0</v>
      </c>
      <c r="HR12">
        <v>0</v>
      </c>
      <c r="HS12">
        <v>0</v>
      </c>
      <c r="HT12">
        <v>0</v>
      </c>
      <c r="HU12">
        <v>8</v>
      </c>
      <c r="HV12">
        <v>7</v>
      </c>
      <c r="HW12">
        <v>0</v>
      </c>
      <c r="HX12">
        <v>0</v>
      </c>
      <c r="HY12">
        <v>5</v>
      </c>
      <c r="HZ12">
        <v>0</v>
      </c>
      <c r="IA12">
        <v>0</v>
      </c>
      <c r="IB12">
        <v>0</v>
      </c>
      <c r="IC12">
        <v>1</v>
      </c>
      <c r="ID12">
        <v>6</v>
      </c>
      <c r="IE12">
        <v>0</v>
      </c>
      <c r="IF12">
        <v>7</v>
      </c>
      <c r="IG12">
        <v>2</v>
      </c>
      <c r="IH12">
        <v>0</v>
      </c>
      <c r="II12">
        <v>0</v>
      </c>
      <c r="IJ12">
        <v>1</v>
      </c>
      <c r="IK12">
        <v>1</v>
      </c>
      <c r="IL12">
        <v>3</v>
      </c>
      <c r="IM12">
        <v>0</v>
      </c>
      <c r="IN12">
        <v>17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4</v>
      </c>
      <c r="IU12">
        <v>0</v>
      </c>
      <c r="IV12">
        <v>6</v>
      </c>
      <c r="IW12">
        <v>2</v>
      </c>
      <c r="IX12">
        <v>0</v>
      </c>
      <c r="IY12">
        <v>5</v>
      </c>
      <c r="IZ12">
        <v>5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8</v>
      </c>
      <c r="JG12">
        <v>2</v>
      </c>
      <c r="JH12">
        <v>0</v>
      </c>
      <c r="JI12">
        <v>0</v>
      </c>
      <c r="JJ12">
        <v>0</v>
      </c>
      <c r="JK12">
        <v>0</v>
      </c>
      <c r="JL12">
        <v>1</v>
      </c>
      <c r="JM12">
        <v>2</v>
      </c>
      <c r="JN12">
        <v>1</v>
      </c>
      <c r="JO12">
        <v>1</v>
      </c>
      <c r="JP12">
        <v>8</v>
      </c>
      <c r="JQ12">
        <v>13</v>
      </c>
      <c r="JR12">
        <v>9</v>
      </c>
      <c r="JS12">
        <v>0</v>
      </c>
      <c r="JT12">
        <v>0</v>
      </c>
      <c r="JU12">
        <v>0</v>
      </c>
      <c r="JV12">
        <v>0</v>
      </c>
      <c r="JW12">
        <v>3</v>
      </c>
      <c r="JX12">
        <v>0</v>
      </c>
      <c r="JY12">
        <v>0</v>
      </c>
      <c r="JZ12">
        <v>0</v>
      </c>
      <c r="KA12">
        <v>0</v>
      </c>
      <c r="KB12">
        <v>30</v>
      </c>
      <c r="KC12">
        <v>0</v>
      </c>
      <c r="KD12">
        <v>0</v>
      </c>
      <c r="KE12">
        <v>0</v>
      </c>
      <c r="KF12">
        <v>4</v>
      </c>
      <c r="KG12">
        <v>3</v>
      </c>
      <c r="KH12">
        <v>0</v>
      </c>
      <c r="KI12">
        <v>0</v>
      </c>
      <c r="KJ12">
        <v>0</v>
      </c>
      <c r="KK12">
        <v>1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14</v>
      </c>
      <c r="KR12">
        <v>0</v>
      </c>
      <c r="KS12">
        <v>0</v>
      </c>
      <c r="KT12">
        <v>0</v>
      </c>
      <c r="KU12">
        <v>0</v>
      </c>
      <c r="KV12">
        <v>4</v>
      </c>
      <c r="KW12">
        <v>5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1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4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2</v>
      </c>
      <c r="LQ12">
        <v>0</v>
      </c>
      <c r="LR12">
        <v>2</v>
      </c>
      <c r="LS12">
        <v>4</v>
      </c>
      <c r="LT12">
        <v>0</v>
      </c>
      <c r="LU12">
        <v>0</v>
      </c>
      <c r="LV12">
        <v>5</v>
      </c>
      <c r="LW12">
        <v>7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4</v>
      </c>
      <c r="NA12">
        <v>3</v>
      </c>
      <c r="NB12">
        <v>0</v>
      </c>
      <c r="NC12">
        <v>1</v>
      </c>
      <c r="ND12">
        <v>0</v>
      </c>
      <c r="NE12">
        <v>7</v>
      </c>
      <c r="NF12">
        <v>0</v>
      </c>
      <c r="NG12">
        <v>0</v>
      </c>
      <c r="NH12">
        <v>0</v>
      </c>
      <c r="NI12">
        <v>1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3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5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1</v>
      </c>
      <c r="OL12">
        <v>0</v>
      </c>
      <c r="OM12">
        <v>0</v>
      </c>
      <c r="ON12">
        <v>1</v>
      </c>
      <c r="OO12">
        <v>2</v>
      </c>
      <c r="OP12">
        <v>0</v>
      </c>
      <c r="OQ12">
        <v>0</v>
      </c>
      <c r="OR12">
        <v>0</v>
      </c>
      <c r="OS12">
        <v>4</v>
      </c>
      <c r="OT12">
        <v>8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6</v>
      </c>
      <c r="PH12">
        <v>1</v>
      </c>
      <c r="PI12">
        <v>0</v>
      </c>
      <c r="PJ12">
        <v>2</v>
      </c>
      <c r="PK12">
        <v>2</v>
      </c>
      <c r="PL12">
        <v>0</v>
      </c>
      <c r="PM12">
        <v>3</v>
      </c>
      <c r="PN12">
        <v>0</v>
      </c>
      <c r="PO12">
        <v>0</v>
      </c>
      <c r="PP12">
        <v>2</v>
      </c>
      <c r="PQ12">
        <v>2</v>
      </c>
      <c r="PR12">
        <v>1</v>
      </c>
      <c r="PS12">
        <v>0</v>
      </c>
      <c r="PT12">
        <v>1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6</v>
      </c>
      <c r="QA12">
        <v>4</v>
      </c>
      <c r="QB12">
        <v>2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3</v>
      </c>
      <c r="QI12">
        <v>0</v>
      </c>
      <c r="QJ12">
        <v>0</v>
      </c>
      <c r="QK12">
        <v>1</v>
      </c>
      <c r="QL12">
        <v>0</v>
      </c>
      <c r="QM12">
        <v>0</v>
      </c>
      <c r="QN12">
        <v>0</v>
      </c>
      <c r="QO12">
        <v>3</v>
      </c>
      <c r="QP12">
        <v>0</v>
      </c>
      <c r="QQ12">
        <v>5</v>
      </c>
      <c r="QR12">
        <v>0</v>
      </c>
      <c r="QS12">
        <v>0</v>
      </c>
      <c r="QT12">
        <v>5</v>
      </c>
      <c r="QU12">
        <v>0</v>
      </c>
      <c r="QV12">
        <v>0</v>
      </c>
      <c r="QW12">
        <v>0</v>
      </c>
      <c r="QX12">
        <v>0</v>
      </c>
      <c r="QY12">
        <v>0</v>
      </c>
    </row>
    <row r="13" spans="1:467" x14ac:dyDescent="0.4">
      <c r="A13" t="str">
        <f>"9784098718849"</f>
        <v>9784098718849</v>
      </c>
      <c r="B13" t="str">
        <f>"4098718847"</f>
        <v>4098718847</v>
      </c>
      <c r="C13" t="s">
        <v>1863</v>
      </c>
      <c r="D13" t="s">
        <v>1864</v>
      </c>
      <c r="E13" t="s">
        <v>1069</v>
      </c>
      <c r="F13" t="s">
        <v>1865</v>
      </c>
      <c r="G13" t="str">
        <f t="shared" si="0"/>
        <v>9979</v>
      </c>
      <c r="H13" t="s">
        <v>1855</v>
      </c>
      <c r="I13" t="s">
        <v>1856</v>
      </c>
      <c r="J13" t="s">
        <v>1856</v>
      </c>
      <c r="L13" s="1">
        <v>44932</v>
      </c>
      <c r="M13">
        <v>500</v>
      </c>
      <c r="N13">
        <v>253</v>
      </c>
      <c r="O13">
        <v>109</v>
      </c>
      <c r="P13">
        <v>253</v>
      </c>
      <c r="Q13">
        <v>109</v>
      </c>
      <c r="R13">
        <v>0</v>
      </c>
      <c r="S13">
        <v>5</v>
      </c>
      <c r="T13">
        <v>7</v>
      </c>
      <c r="U13">
        <v>0</v>
      </c>
      <c r="V13">
        <v>0</v>
      </c>
      <c r="W13">
        <v>0</v>
      </c>
      <c r="X13">
        <v>2</v>
      </c>
      <c r="Y13">
        <v>0</v>
      </c>
      <c r="Z13">
        <v>0</v>
      </c>
      <c r="AA13">
        <v>0</v>
      </c>
      <c r="AB13">
        <v>1</v>
      </c>
      <c r="AC13">
        <v>0</v>
      </c>
      <c r="AD13">
        <v>4</v>
      </c>
      <c r="AE13">
        <v>0</v>
      </c>
      <c r="AF13">
        <v>0</v>
      </c>
      <c r="AG13">
        <v>0</v>
      </c>
      <c r="AH13">
        <v>0</v>
      </c>
      <c r="AI13">
        <v>2</v>
      </c>
      <c r="AJ13">
        <v>0</v>
      </c>
      <c r="AK13">
        <v>2</v>
      </c>
      <c r="AL13">
        <v>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6</v>
      </c>
      <c r="BC13">
        <v>0</v>
      </c>
      <c r="BD13">
        <v>0</v>
      </c>
      <c r="BE13">
        <v>3</v>
      </c>
      <c r="BF13">
        <v>0</v>
      </c>
      <c r="BG13">
        <v>1</v>
      </c>
      <c r="BH13">
        <v>2</v>
      </c>
      <c r="BI13">
        <v>0</v>
      </c>
      <c r="BJ13">
        <v>0</v>
      </c>
      <c r="BK13">
        <v>0</v>
      </c>
      <c r="BL13">
        <v>1</v>
      </c>
      <c r="BM13">
        <v>2</v>
      </c>
      <c r="BN13">
        <v>1</v>
      </c>
      <c r="BO13">
        <v>0</v>
      </c>
      <c r="BP13">
        <v>0</v>
      </c>
      <c r="BQ13">
        <v>1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2</v>
      </c>
      <c r="CD13">
        <v>0</v>
      </c>
      <c r="CE13">
        <v>0</v>
      </c>
      <c r="CF13">
        <v>0</v>
      </c>
      <c r="CG13">
        <v>0</v>
      </c>
      <c r="CH13">
        <v>10</v>
      </c>
      <c r="CI13">
        <v>4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4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1</v>
      </c>
      <c r="DA13">
        <v>0</v>
      </c>
      <c r="DB13">
        <v>2</v>
      </c>
      <c r="DC13">
        <v>1</v>
      </c>
      <c r="DD13">
        <v>0</v>
      </c>
      <c r="DE13">
        <v>0</v>
      </c>
      <c r="DF13">
        <v>1</v>
      </c>
      <c r="DG13">
        <v>0</v>
      </c>
      <c r="DH13">
        <v>0</v>
      </c>
      <c r="DI13">
        <v>0</v>
      </c>
      <c r="DJ13">
        <v>1</v>
      </c>
      <c r="DK13">
        <v>0</v>
      </c>
      <c r="DL13">
        <v>1</v>
      </c>
      <c r="DM13">
        <v>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2</v>
      </c>
      <c r="DU13">
        <v>0</v>
      </c>
      <c r="DV13">
        <v>0</v>
      </c>
      <c r="DW13">
        <v>0</v>
      </c>
      <c r="DX13">
        <v>0</v>
      </c>
      <c r="DY13">
        <v>6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1</v>
      </c>
      <c r="EF13">
        <v>1</v>
      </c>
      <c r="EG13">
        <v>0</v>
      </c>
      <c r="EH13">
        <v>2</v>
      </c>
      <c r="EI13">
        <v>1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</v>
      </c>
      <c r="ES13">
        <v>0</v>
      </c>
      <c r="ET13">
        <v>2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3</v>
      </c>
      <c r="FB13">
        <v>0</v>
      </c>
      <c r="FC13">
        <v>0</v>
      </c>
      <c r="FD13">
        <v>0</v>
      </c>
      <c r="FE13">
        <v>1</v>
      </c>
      <c r="FF13">
        <v>1</v>
      </c>
      <c r="FG13">
        <v>0</v>
      </c>
      <c r="FH13">
        <v>3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3</v>
      </c>
      <c r="FP13">
        <v>0</v>
      </c>
      <c r="FQ13">
        <v>0</v>
      </c>
      <c r="FR13">
        <v>0</v>
      </c>
      <c r="FS13">
        <v>0</v>
      </c>
      <c r="FT13">
        <v>1</v>
      </c>
      <c r="FU13">
        <v>0</v>
      </c>
      <c r="FV13">
        <v>0</v>
      </c>
      <c r="FW13">
        <v>0</v>
      </c>
      <c r="FX13">
        <v>0</v>
      </c>
      <c r="FY13">
        <v>1</v>
      </c>
      <c r="FZ13">
        <v>3</v>
      </c>
      <c r="GA13">
        <v>2</v>
      </c>
      <c r="GB13">
        <v>0</v>
      </c>
      <c r="GC13">
        <v>3</v>
      </c>
      <c r="GD13">
        <v>1</v>
      </c>
      <c r="GE13">
        <v>0</v>
      </c>
      <c r="GF13">
        <v>0</v>
      </c>
      <c r="GG13">
        <v>0</v>
      </c>
      <c r="GH13">
        <v>0</v>
      </c>
      <c r="GI13">
        <v>1</v>
      </c>
      <c r="GJ13">
        <v>0</v>
      </c>
      <c r="GK13">
        <v>0</v>
      </c>
      <c r="GL13">
        <v>0</v>
      </c>
      <c r="GM13">
        <v>0</v>
      </c>
      <c r="GN13">
        <v>13</v>
      </c>
      <c r="GO13">
        <v>0</v>
      </c>
      <c r="GP13">
        <v>1</v>
      </c>
      <c r="GQ13">
        <v>0</v>
      </c>
      <c r="GR13">
        <v>0</v>
      </c>
      <c r="GS13">
        <v>0</v>
      </c>
      <c r="GT13">
        <v>0</v>
      </c>
      <c r="GU13">
        <v>2</v>
      </c>
      <c r="GV13">
        <v>0</v>
      </c>
      <c r="GW13">
        <v>0</v>
      </c>
      <c r="GX13">
        <v>0</v>
      </c>
      <c r="GY13">
        <v>1</v>
      </c>
      <c r="GZ13">
        <v>0</v>
      </c>
      <c r="HA13">
        <v>0</v>
      </c>
      <c r="HB13">
        <v>0</v>
      </c>
      <c r="HC13">
        <v>0</v>
      </c>
      <c r="HD13">
        <v>2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1</v>
      </c>
      <c r="HU13">
        <v>3</v>
      </c>
      <c r="HV13">
        <v>5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1</v>
      </c>
      <c r="IE13">
        <v>0</v>
      </c>
      <c r="IF13">
        <v>2</v>
      </c>
      <c r="IG13">
        <v>1</v>
      </c>
      <c r="IH13">
        <v>1</v>
      </c>
      <c r="II13">
        <v>0</v>
      </c>
      <c r="IJ13">
        <v>3</v>
      </c>
      <c r="IK13">
        <v>1</v>
      </c>
      <c r="IL13">
        <v>0</v>
      </c>
      <c r="IM13">
        <v>0</v>
      </c>
      <c r="IN13">
        <v>2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8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15</v>
      </c>
      <c r="JG13">
        <v>1</v>
      </c>
      <c r="JH13">
        <v>0</v>
      </c>
      <c r="JI13">
        <v>1</v>
      </c>
      <c r="JJ13">
        <v>0</v>
      </c>
      <c r="JK13">
        <v>0</v>
      </c>
      <c r="JL13">
        <v>0</v>
      </c>
      <c r="JM13">
        <v>2</v>
      </c>
      <c r="JN13">
        <v>2</v>
      </c>
      <c r="JO13">
        <v>0</v>
      </c>
      <c r="JP13">
        <v>1</v>
      </c>
      <c r="JQ13">
        <v>6</v>
      </c>
      <c r="JR13">
        <v>3</v>
      </c>
      <c r="JS13">
        <v>0</v>
      </c>
      <c r="JT13">
        <v>0</v>
      </c>
      <c r="JU13">
        <v>1</v>
      </c>
      <c r="JV13">
        <v>0</v>
      </c>
      <c r="JW13">
        <v>1</v>
      </c>
      <c r="JX13">
        <v>0</v>
      </c>
      <c r="JY13">
        <v>0</v>
      </c>
      <c r="JZ13">
        <v>0</v>
      </c>
      <c r="KA13">
        <v>0</v>
      </c>
      <c r="KB13">
        <v>2</v>
      </c>
      <c r="KC13">
        <v>0</v>
      </c>
      <c r="KD13">
        <v>0</v>
      </c>
      <c r="KE13">
        <v>1</v>
      </c>
      <c r="KF13">
        <v>3</v>
      </c>
      <c r="KG13">
        <v>0</v>
      </c>
      <c r="KH13">
        <v>0</v>
      </c>
      <c r="KI13">
        <v>0</v>
      </c>
      <c r="KJ13">
        <v>0</v>
      </c>
      <c r="KK13">
        <v>2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2</v>
      </c>
      <c r="KR13">
        <v>1</v>
      </c>
      <c r="KS13">
        <v>0</v>
      </c>
      <c r="KT13">
        <v>0</v>
      </c>
      <c r="KU13">
        <v>0</v>
      </c>
      <c r="KV13">
        <v>1</v>
      </c>
      <c r="KW13">
        <v>2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1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1</v>
      </c>
      <c r="LQ13">
        <v>0</v>
      </c>
      <c r="LR13">
        <v>1</v>
      </c>
      <c r="LS13">
        <v>0</v>
      </c>
      <c r="LT13">
        <v>0</v>
      </c>
      <c r="LU13">
        <v>0</v>
      </c>
      <c r="LV13">
        <v>2</v>
      </c>
      <c r="LW13">
        <v>6</v>
      </c>
      <c r="LX13">
        <v>2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1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3</v>
      </c>
      <c r="NF13">
        <v>0</v>
      </c>
      <c r="NG13">
        <v>0</v>
      </c>
      <c r="NH13">
        <v>0</v>
      </c>
      <c r="NI13">
        <v>0</v>
      </c>
      <c r="NJ13">
        <v>1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1</v>
      </c>
      <c r="NS13">
        <v>0</v>
      </c>
      <c r="NT13">
        <v>0</v>
      </c>
      <c r="NU13">
        <v>0</v>
      </c>
      <c r="NV13">
        <v>1</v>
      </c>
      <c r="NW13">
        <v>0</v>
      </c>
      <c r="NX13">
        <v>0</v>
      </c>
      <c r="NY13">
        <v>1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1</v>
      </c>
      <c r="ON13">
        <v>0</v>
      </c>
      <c r="OO13">
        <v>3</v>
      </c>
      <c r="OP13">
        <v>0</v>
      </c>
      <c r="OQ13">
        <v>0</v>
      </c>
      <c r="OR13">
        <v>0</v>
      </c>
      <c r="OS13">
        <v>2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2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1</v>
      </c>
      <c r="PL13">
        <v>1</v>
      </c>
      <c r="PM13">
        <v>2</v>
      </c>
      <c r="PN13">
        <v>0</v>
      </c>
      <c r="PO13">
        <v>0</v>
      </c>
      <c r="PP13">
        <v>0</v>
      </c>
      <c r="PQ13">
        <v>2</v>
      </c>
      <c r="PR13">
        <v>0</v>
      </c>
      <c r="PS13">
        <v>0</v>
      </c>
      <c r="PT13">
        <v>2</v>
      </c>
      <c r="PU13">
        <v>0</v>
      </c>
      <c r="PV13">
        <v>0</v>
      </c>
      <c r="PW13">
        <v>1</v>
      </c>
      <c r="PX13">
        <v>0</v>
      </c>
      <c r="PY13">
        <v>0</v>
      </c>
      <c r="PZ13">
        <v>0</v>
      </c>
      <c r="QA13">
        <v>0</v>
      </c>
      <c r="QB13">
        <v>2</v>
      </c>
      <c r="QC13">
        <v>1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1</v>
      </c>
      <c r="QR13">
        <v>0</v>
      </c>
      <c r="QS13">
        <v>1</v>
      </c>
      <c r="QT13">
        <v>1</v>
      </c>
      <c r="QU13">
        <v>0</v>
      </c>
      <c r="QV13">
        <v>0</v>
      </c>
      <c r="QW13">
        <v>0</v>
      </c>
      <c r="QX13">
        <v>0</v>
      </c>
      <c r="QY13">
        <v>0</v>
      </c>
    </row>
    <row r="14" spans="1:467" x14ac:dyDescent="0.4">
      <c r="A14" t="str">
        <f>"9784088925356"</f>
        <v>9784088925356</v>
      </c>
      <c r="B14" t="str">
        <f>"4088925351"</f>
        <v>4088925351</v>
      </c>
      <c r="C14" t="s">
        <v>1866</v>
      </c>
      <c r="D14" t="s">
        <v>1867</v>
      </c>
      <c r="E14" t="s">
        <v>536</v>
      </c>
      <c r="F14" t="s">
        <v>1859</v>
      </c>
      <c r="G14" t="str">
        <f t="shared" si="0"/>
        <v>9979</v>
      </c>
      <c r="H14" t="s">
        <v>1855</v>
      </c>
      <c r="I14" t="s">
        <v>1856</v>
      </c>
      <c r="J14" t="s">
        <v>1856</v>
      </c>
      <c r="L14" s="1">
        <v>44945</v>
      </c>
      <c r="M14">
        <v>650</v>
      </c>
      <c r="N14">
        <v>201</v>
      </c>
      <c r="O14">
        <v>86</v>
      </c>
      <c r="P14">
        <v>201</v>
      </c>
      <c r="Q14">
        <v>86</v>
      </c>
      <c r="R14">
        <v>0</v>
      </c>
      <c r="S14">
        <v>0</v>
      </c>
      <c r="T14">
        <v>3</v>
      </c>
      <c r="U14">
        <v>0</v>
      </c>
      <c r="V14">
        <v>0</v>
      </c>
      <c r="W14">
        <v>1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</v>
      </c>
      <c r="AE14">
        <v>0</v>
      </c>
      <c r="AF14">
        <v>0</v>
      </c>
      <c r="AG14">
        <v>0</v>
      </c>
      <c r="AH14">
        <v>0</v>
      </c>
      <c r="AI14">
        <v>2</v>
      </c>
      <c r="AJ14">
        <v>0</v>
      </c>
      <c r="AK14">
        <v>1</v>
      </c>
      <c r="AL14">
        <v>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6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9</v>
      </c>
      <c r="BC14">
        <v>0</v>
      </c>
      <c r="BD14">
        <v>4</v>
      </c>
      <c r="BE14">
        <v>2</v>
      </c>
      <c r="BF14">
        <v>0</v>
      </c>
      <c r="BG14">
        <v>5</v>
      </c>
      <c r="BH14">
        <v>0</v>
      </c>
      <c r="BI14">
        <v>2</v>
      </c>
      <c r="BJ14">
        <v>0</v>
      </c>
      <c r="BK14">
        <v>0</v>
      </c>
      <c r="BL14">
        <v>1</v>
      </c>
      <c r="BM14">
        <v>1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2</v>
      </c>
      <c r="BU14">
        <v>0</v>
      </c>
      <c r="BV14">
        <v>1</v>
      </c>
      <c r="BW14">
        <v>0</v>
      </c>
      <c r="BX14">
        <v>0</v>
      </c>
      <c r="BY14">
        <v>0</v>
      </c>
      <c r="BZ14">
        <v>0</v>
      </c>
      <c r="CA14">
        <v>1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8</v>
      </c>
      <c r="CI14">
        <v>5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1</v>
      </c>
      <c r="DA14">
        <v>0</v>
      </c>
      <c r="DB14">
        <v>0</v>
      </c>
      <c r="DC14">
        <v>2</v>
      </c>
      <c r="DD14">
        <v>0</v>
      </c>
      <c r="DE14">
        <v>2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2</v>
      </c>
      <c r="DM14">
        <v>6</v>
      </c>
      <c r="DN14">
        <v>0</v>
      </c>
      <c r="DO14">
        <v>1</v>
      </c>
      <c r="DP14">
        <v>0</v>
      </c>
      <c r="DQ14">
        <v>0</v>
      </c>
      <c r="DR14">
        <v>0</v>
      </c>
      <c r="DS14">
        <v>0</v>
      </c>
      <c r="DT14">
        <v>1</v>
      </c>
      <c r="DU14">
        <v>0</v>
      </c>
      <c r="DV14">
        <v>0</v>
      </c>
      <c r="DW14">
        <v>0</v>
      </c>
      <c r="DX14">
        <v>0</v>
      </c>
      <c r="DY14">
        <v>7</v>
      </c>
      <c r="DZ14">
        <v>0</v>
      </c>
      <c r="EA14">
        <v>0</v>
      </c>
      <c r="EB14">
        <v>1</v>
      </c>
      <c r="EC14">
        <v>0</v>
      </c>
      <c r="ED14">
        <v>0</v>
      </c>
      <c r="EE14">
        <v>0</v>
      </c>
      <c r="EF14">
        <v>0</v>
      </c>
      <c r="EG14">
        <v>1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2</v>
      </c>
      <c r="FF14">
        <v>0</v>
      </c>
      <c r="FG14">
        <v>0</v>
      </c>
      <c r="FH14">
        <v>3</v>
      </c>
      <c r="FI14">
        <v>0</v>
      </c>
      <c r="FJ14">
        <v>2</v>
      </c>
      <c r="FK14">
        <v>0</v>
      </c>
      <c r="FL14">
        <v>0</v>
      </c>
      <c r="FM14">
        <v>0</v>
      </c>
      <c r="FN14">
        <v>0</v>
      </c>
      <c r="FO14">
        <v>2</v>
      </c>
      <c r="FP14">
        <v>0</v>
      </c>
      <c r="FQ14">
        <v>0</v>
      </c>
      <c r="FR14">
        <v>0</v>
      </c>
      <c r="FS14">
        <v>0</v>
      </c>
      <c r="FT14">
        <v>2</v>
      </c>
      <c r="FU14">
        <v>0</v>
      </c>
      <c r="FV14">
        <v>0</v>
      </c>
      <c r="FW14">
        <v>0</v>
      </c>
      <c r="FX14">
        <v>0</v>
      </c>
      <c r="FY14">
        <v>2</v>
      </c>
      <c r="FZ14">
        <v>1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3</v>
      </c>
      <c r="GJ14">
        <v>0</v>
      </c>
      <c r="GK14">
        <v>0</v>
      </c>
      <c r="GL14">
        <v>0</v>
      </c>
      <c r="GM14">
        <v>0</v>
      </c>
      <c r="GN14">
        <v>5</v>
      </c>
      <c r="GO14">
        <v>1</v>
      </c>
      <c r="GP14">
        <v>1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3</v>
      </c>
      <c r="HI14">
        <v>0</v>
      </c>
      <c r="HJ14">
        <v>0</v>
      </c>
      <c r="HK14">
        <v>0</v>
      </c>
      <c r="HL14">
        <v>1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5</v>
      </c>
      <c r="HV14">
        <v>7</v>
      </c>
      <c r="HW14">
        <v>0</v>
      </c>
      <c r="HX14">
        <v>0</v>
      </c>
      <c r="HY14">
        <v>2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1</v>
      </c>
      <c r="IG14">
        <v>0</v>
      </c>
      <c r="IH14">
        <v>1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3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6</v>
      </c>
      <c r="IU14">
        <v>0</v>
      </c>
      <c r="IV14">
        <v>1</v>
      </c>
      <c r="IW14">
        <v>0</v>
      </c>
      <c r="IX14">
        <v>0</v>
      </c>
      <c r="IY14">
        <v>3</v>
      </c>
      <c r="IZ14">
        <v>1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7</v>
      </c>
      <c r="JG14">
        <v>3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1</v>
      </c>
      <c r="JO14">
        <v>0</v>
      </c>
      <c r="JP14">
        <v>0</v>
      </c>
      <c r="JQ14">
        <v>2</v>
      </c>
      <c r="JR14">
        <v>3</v>
      </c>
      <c r="JS14">
        <v>0</v>
      </c>
      <c r="JT14">
        <v>0</v>
      </c>
      <c r="JU14">
        <v>0</v>
      </c>
      <c r="JV14">
        <v>0</v>
      </c>
      <c r="JW14">
        <v>2</v>
      </c>
      <c r="JX14">
        <v>0</v>
      </c>
      <c r="JY14">
        <v>0</v>
      </c>
      <c r="JZ14">
        <v>0</v>
      </c>
      <c r="KA14">
        <v>0</v>
      </c>
      <c r="KB14">
        <v>2</v>
      </c>
      <c r="KC14">
        <v>0</v>
      </c>
      <c r="KD14">
        <v>0</v>
      </c>
      <c r="KE14">
        <v>0</v>
      </c>
      <c r="KF14">
        <v>1</v>
      </c>
      <c r="KG14">
        <v>0</v>
      </c>
      <c r="KH14">
        <v>0</v>
      </c>
      <c r="KI14">
        <v>0</v>
      </c>
      <c r="KJ14">
        <v>0</v>
      </c>
      <c r="KK14">
        <v>1</v>
      </c>
      <c r="KL14">
        <v>0</v>
      </c>
      <c r="KM14">
        <v>0</v>
      </c>
      <c r="KN14">
        <v>1</v>
      </c>
      <c r="KO14">
        <v>0</v>
      </c>
      <c r="KP14">
        <v>0</v>
      </c>
      <c r="KQ14">
        <v>2</v>
      </c>
      <c r="KR14">
        <v>0</v>
      </c>
      <c r="KS14">
        <v>0</v>
      </c>
      <c r="KT14">
        <v>0</v>
      </c>
      <c r="KU14">
        <v>0</v>
      </c>
      <c r="KV14">
        <v>1</v>
      </c>
      <c r="KW14">
        <v>1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1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1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1</v>
      </c>
      <c r="LW14">
        <v>2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3</v>
      </c>
      <c r="NA14">
        <v>1</v>
      </c>
      <c r="NB14">
        <v>0</v>
      </c>
      <c r="NC14">
        <v>1</v>
      </c>
      <c r="ND14">
        <v>0</v>
      </c>
      <c r="NE14">
        <v>1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2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1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1</v>
      </c>
      <c r="OT14">
        <v>2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1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1</v>
      </c>
      <c r="PL14">
        <v>0</v>
      </c>
      <c r="PM14">
        <v>6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1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1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1</v>
      </c>
      <c r="QR14">
        <v>0</v>
      </c>
      <c r="QS14">
        <v>0</v>
      </c>
      <c r="QT14">
        <v>1</v>
      </c>
      <c r="QU14">
        <v>0</v>
      </c>
      <c r="QV14">
        <v>0</v>
      </c>
      <c r="QW14">
        <v>0</v>
      </c>
      <c r="QX14">
        <v>0</v>
      </c>
      <c r="QY14">
        <v>0</v>
      </c>
    </row>
    <row r="15" spans="1:467" x14ac:dyDescent="0.4">
      <c r="A15" t="str">
        <f>"9784088833118"</f>
        <v>9784088833118</v>
      </c>
      <c r="B15" t="str">
        <f>"4088833112"</f>
        <v>4088833112</v>
      </c>
      <c r="C15" t="s">
        <v>1868</v>
      </c>
      <c r="D15" t="s">
        <v>1869</v>
      </c>
      <c r="E15" t="s">
        <v>536</v>
      </c>
      <c r="F15" t="s">
        <v>1854</v>
      </c>
      <c r="G15" t="str">
        <f t="shared" si="0"/>
        <v>9979</v>
      </c>
      <c r="H15" t="s">
        <v>1855</v>
      </c>
      <c r="I15" t="s">
        <v>1856</v>
      </c>
      <c r="J15" t="s">
        <v>1856</v>
      </c>
      <c r="L15" s="1">
        <v>44896</v>
      </c>
      <c r="M15">
        <v>500</v>
      </c>
      <c r="N15">
        <v>182</v>
      </c>
      <c r="O15">
        <v>82</v>
      </c>
      <c r="P15">
        <v>182</v>
      </c>
      <c r="Q15">
        <v>82</v>
      </c>
      <c r="R15">
        <v>0</v>
      </c>
      <c r="S15">
        <v>0</v>
      </c>
      <c r="T15">
        <v>4</v>
      </c>
      <c r="U15">
        <v>0</v>
      </c>
      <c r="V15">
        <v>0</v>
      </c>
      <c r="W15">
        <v>3</v>
      </c>
      <c r="X15">
        <v>0</v>
      </c>
      <c r="Y15">
        <v>2</v>
      </c>
      <c r="Z15">
        <v>0</v>
      </c>
      <c r="AA15">
        <v>1</v>
      </c>
      <c r="AB15">
        <v>0</v>
      </c>
      <c r="AC15">
        <v>0</v>
      </c>
      <c r="AD15">
        <v>2</v>
      </c>
      <c r="AE15">
        <v>1</v>
      </c>
      <c r="AF15">
        <v>0</v>
      </c>
      <c r="AG15">
        <v>0</v>
      </c>
      <c r="AH15">
        <v>0</v>
      </c>
      <c r="AI15">
        <v>0</v>
      </c>
      <c r="AJ15">
        <v>1</v>
      </c>
      <c r="AK15">
        <v>1</v>
      </c>
      <c r="AL15">
        <v>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3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5</v>
      </c>
      <c r="BC15">
        <v>1</v>
      </c>
      <c r="BD15">
        <v>1</v>
      </c>
      <c r="BE15">
        <v>1</v>
      </c>
      <c r="BF15">
        <v>0</v>
      </c>
      <c r="BG15">
        <v>3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1</v>
      </c>
      <c r="BO15">
        <v>0</v>
      </c>
      <c r="BP15">
        <v>1</v>
      </c>
      <c r="BQ15">
        <v>0</v>
      </c>
      <c r="BR15">
        <v>0</v>
      </c>
      <c r="BS15">
        <v>0</v>
      </c>
      <c r="BT15">
        <v>1</v>
      </c>
      <c r="BU15">
        <v>0</v>
      </c>
      <c r="BV15">
        <v>0</v>
      </c>
      <c r="BW15">
        <v>1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1</v>
      </c>
      <c r="CI15">
        <v>10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1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1</v>
      </c>
      <c r="CY15">
        <v>0</v>
      </c>
      <c r="CZ15">
        <v>1</v>
      </c>
      <c r="DA15">
        <v>0</v>
      </c>
      <c r="DB15">
        <v>1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</v>
      </c>
      <c r="DK15">
        <v>0</v>
      </c>
      <c r="DL15">
        <v>2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2</v>
      </c>
      <c r="DU15">
        <v>0</v>
      </c>
      <c r="DV15">
        <v>0</v>
      </c>
      <c r="DW15">
        <v>1</v>
      </c>
      <c r="DX15">
        <v>0</v>
      </c>
      <c r="DY15">
        <v>5</v>
      </c>
      <c r="DZ15">
        <v>0</v>
      </c>
      <c r="EA15">
        <v>0</v>
      </c>
      <c r="EB15">
        <v>0</v>
      </c>
      <c r="EC15">
        <v>0</v>
      </c>
      <c r="ED15">
        <v>2</v>
      </c>
      <c r="EE15">
        <v>0</v>
      </c>
      <c r="EF15">
        <v>0</v>
      </c>
      <c r="EG15">
        <v>1</v>
      </c>
      <c r="EH15">
        <v>1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</v>
      </c>
      <c r="ES15">
        <v>0</v>
      </c>
      <c r="ET15">
        <v>0</v>
      </c>
      <c r="EU15">
        <v>1</v>
      </c>
      <c r="EV15">
        <v>2</v>
      </c>
      <c r="EW15">
        <v>0</v>
      </c>
      <c r="EX15">
        <v>0</v>
      </c>
      <c r="EY15">
        <v>0</v>
      </c>
      <c r="EZ15">
        <v>1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2</v>
      </c>
      <c r="FI15">
        <v>0</v>
      </c>
      <c r="FJ15">
        <v>1</v>
      </c>
      <c r="FK15">
        <v>0</v>
      </c>
      <c r="FL15">
        <v>0</v>
      </c>
      <c r="FM15">
        <v>0</v>
      </c>
      <c r="FN15">
        <v>0</v>
      </c>
      <c r="FO15">
        <v>3</v>
      </c>
      <c r="FP15">
        <v>0</v>
      </c>
      <c r="FQ15">
        <v>0</v>
      </c>
      <c r="FR15">
        <v>0</v>
      </c>
      <c r="FS15">
        <v>0</v>
      </c>
      <c r="FT15">
        <v>2</v>
      </c>
      <c r="FU15">
        <v>0</v>
      </c>
      <c r="FV15">
        <v>0</v>
      </c>
      <c r="FW15">
        <v>0</v>
      </c>
      <c r="FX15">
        <v>0</v>
      </c>
      <c r="FY15">
        <v>1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1</v>
      </c>
      <c r="GN15">
        <v>0</v>
      </c>
      <c r="GO15">
        <v>0</v>
      </c>
      <c r="GP15">
        <v>0</v>
      </c>
      <c r="GQ15">
        <v>1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1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4</v>
      </c>
      <c r="HV15">
        <v>7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2</v>
      </c>
      <c r="ID15">
        <v>0</v>
      </c>
      <c r="IE15">
        <v>0</v>
      </c>
      <c r="IF15">
        <v>0</v>
      </c>
      <c r="IG15">
        <v>2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2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1</v>
      </c>
      <c r="IU15">
        <v>0</v>
      </c>
      <c r="IV15">
        <v>0</v>
      </c>
      <c r="IW15">
        <v>0</v>
      </c>
      <c r="IX15">
        <v>0</v>
      </c>
      <c r="IY15">
        <v>2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10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2</v>
      </c>
      <c r="JN15">
        <v>2</v>
      </c>
      <c r="JO15">
        <v>0</v>
      </c>
      <c r="JP15">
        <v>2</v>
      </c>
      <c r="JQ15">
        <v>6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8</v>
      </c>
      <c r="KC15">
        <v>0</v>
      </c>
      <c r="KD15">
        <v>0</v>
      </c>
      <c r="KE15">
        <v>0</v>
      </c>
      <c r="KF15">
        <v>0</v>
      </c>
      <c r="KG15">
        <v>2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2</v>
      </c>
      <c r="KR15">
        <v>0</v>
      </c>
      <c r="KS15">
        <v>0</v>
      </c>
      <c r="KT15">
        <v>0</v>
      </c>
      <c r="KU15">
        <v>0</v>
      </c>
      <c r="KV15">
        <v>1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2</v>
      </c>
      <c r="LH15">
        <v>0</v>
      </c>
      <c r="LI15">
        <v>0</v>
      </c>
      <c r="LJ15">
        <v>1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1</v>
      </c>
      <c r="LR15">
        <v>0</v>
      </c>
      <c r="LS15">
        <v>1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1</v>
      </c>
      <c r="MA15">
        <v>0</v>
      </c>
      <c r="MB15">
        <v>0</v>
      </c>
      <c r="MC15">
        <v>0</v>
      </c>
      <c r="MD15">
        <v>1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5</v>
      </c>
      <c r="NA15">
        <v>0</v>
      </c>
      <c r="NB15">
        <v>0</v>
      </c>
      <c r="NC15">
        <v>0</v>
      </c>
      <c r="ND15">
        <v>0</v>
      </c>
      <c r="NE15">
        <v>2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1</v>
      </c>
      <c r="NZ15">
        <v>0</v>
      </c>
      <c r="OA15">
        <v>0</v>
      </c>
      <c r="OB15">
        <v>0</v>
      </c>
      <c r="OC15">
        <v>0</v>
      </c>
      <c r="OD15">
        <v>1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1</v>
      </c>
      <c r="OO15">
        <v>1</v>
      </c>
      <c r="OP15">
        <v>0</v>
      </c>
      <c r="OQ15">
        <v>0</v>
      </c>
      <c r="OR15">
        <v>0</v>
      </c>
      <c r="OS15">
        <v>1</v>
      </c>
      <c r="OT15">
        <v>2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1</v>
      </c>
      <c r="PI15">
        <v>1</v>
      </c>
      <c r="PJ15">
        <v>1</v>
      </c>
      <c r="PK15">
        <v>0</v>
      </c>
      <c r="PL15">
        <v>0</v>
      </c>
      <c r="PM15">
        <v>1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17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1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2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</row>
    <row r="16" spans="1:467" x14ac:dyDescent="0.4">
      <c r="A16" t="str">
        <f>"9784088925349"</f>
        <v>9784088925349</v>
      </c>
      <c r="B16" t="str">
        <f>"4088925343"</f>
        <v>4088925343</v>
      </c>
      <c r="C16" t="s">
        <v>1870</v>
      </c>
      <c r="D16" t="s">
        <v>1867</v>
      </c>
      <c r="E16" t="s">
        <v>536</v>
      </c>
      <c r="F16" t="s">
        <v>1859</v>
      </c>
      <c r="G16" t="str">
        <f t="shared" si="0"/>
        <v>9979</v>
      </c>
      <c r="H16" t="s">
        <v>1855</v>
      </c>
      <c r="I16" t="s">
        <v>1856</v>
      </c>
      <c r="J16" t="s">
        <v>1856</v>
      </c>
      <c r="L16" s="1">
        <v>44914</v>
      </c>
      <c r="M16">
        <v>680</v>
      </c>
      <c r="N16">
        <v>137</v>
      </c>
      <c r="O16">
        <v>63</v>
      </c>
      <c r="P16">
        <v>137</v>
      </c>
      <c r="Q16">
        <v>63</v>
      </c>
      <c r="R16">
        <v>0</v>
      </c>
      <c r="S16">
        <v>3</v>
      </c>
      <c r="T16">
        <v>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</v>
      </c>
      <c r="AE16">
        <v>1</v>
      </c>
      <c r="AF16">
        <v>0</v>
      </c>
      <c r="AG16">
        <v>0</v>
      </c>
      <c r="AH16">
        <v>0</v>
      </c>
      <c r="AI16">
        <v>2</v>
      </c>
      <c r="AJ16">
        <v>1</v>
      </c>
      <c r="AK16">
        <v>1</v>
      </c>
      <c r="AL16">
        <v>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8</v>
      </c>
      <c r="BC16">
        <v>0</v>
      </c>
      <c r="BD16">
        <v>2</v>
      </c>
      <c r="BE16">
        <v>1</v>
      </c>
      <c r="BF16">
        <v>0</v>
      </c>
      <c r="BG16">
        <v>3</v>
      </c>
      <c r="BH16">
        <v>0</v>
      </c>
      <c r="BI16">
        <v>2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1</v>
      </c>
      <c r="BU16">
        <v>0</v>
      </c>
      <c r="BV16">
        <v>1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3</v>
      </c>
      <c r="CI16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1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1</v>
      </c>
      <c r="DA16">
        <v>0</v>
      </c>
      <c r="DB16">
        <v>0</v>
      </c>
      <c r="DC16">
        <v>0</v>
      </c>
      <c r="DD16">
        <v>0</v>
      </c>
      <c r="DE16">
        <v>1</v>
      </c>
      <c r="DF16">
        <v>0</v>
      </c>
      <c r="DG16">
        <v>0</v>
      </c>
      <c r="DH16">
        <v>0</v>
      </c>
      <c r="DI16">
        <v>0</v>
      </c>
      <c r="DJ16">
        <v>1</v>
      </c>
      <c r="DK16">
        <v>0</v>
      </c>
      <c r="DL16">
        <v>1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1</v>
      </c>
      <c r="DU16">
        <v>0</v>
      </c>
      <c r="DV16">
        <v>0</v>
      </c>
      <c r="DW16">
        <v>1</v>
      </c>
      <c r="DX16">
        <v>0</v>
      </c>
      <c r="DY16">
        <v>8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1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</v>
      </c>
      <c r="FI16">
        <v>0</v>
      </c>
      <c r="FJ16">
        <v>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2</v>
      </c>
      <c r="FZ16">
        <v>0</v>
      </c>
      <c r="GA16">
        <v>1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2</v>
      </c>
      <c r="GJ16">
        <v>0</v>
      </c>
      <c r="GK16">
        <v>0</v>
      </c>
      <c r="GL16">
        <v>0</v>
      </c>
      <c r="GM16">
        <v>0</v>
      </c>
      <c r="GN16">
        <v>3</v>
      </c>
      <c r="GO16">
        <v>0</v>
      </c>
      <c r="GP16">
        <v>0</v>
      </c>
      <c r="GQ16">
        <v>0</v>
      </c>
      <c r="GR16">
        <v>1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1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</v>
      </c>
      <c r="HO16">
        <v>0</v>
      </c>
      <c r="HP16">
        <v>1</v>
      </c>
      <c r="HQ16">
        <v>0</v>
      </c>
      <c r="HR16">
        <v>0</v>
      </c>
      <c r="HS16">
        <v>0</v>
      </c>
      <c r="HT16">
        <v>0</v>
      </c>
      <c r="HU16">
        <v>2</v>
      </c>
      <c r="HV16">
        <v>6</v>
      </c>
      <c r="HW16">
        <v>0</v>
      </c>
      <c r="HX16">
        <v>0</v>
      </c>
      <c r="HY16">
        <v>2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2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1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9</v>
      </c>
      <c r="JG16">
        <v>3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1</v>
      </c>
      <c r="JN16">
        <v>1</v>
      </c>
      <c r="JO16">
        <v>0</v>
      </c>
      <c r="JP16">
        <v>0</v>
      </c>
      <c r="JQ16">
        <v>3</v>
      </c>
      <c r="JR16">
        <v>6</v>
      </c>
      <c r="JS16">
        <v>0</v>
      </c>
      <c r="JT16">
        <v>0</v>
      </c>
      <c r="JU16">
        <v>0</v>
      </c>
      <c r="JV16">
        <v>0</v>
      </c>
      <c r="JW16">
        <v>1</v>
      </c>
      <c r="JX16">
        <v>0</v>
      </c>
      <c r="JY16">
        <v>0</v>
      </c>
      <c r="JZ16">
        <v>0</v>
      </c>
      <c r="KA16">
        <v>0</v>
      </c>
      <c r="KB16">
        <v>4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2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1</v>
      </c>
      <c r="LX16">
        <v>1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2</v>
      </c>
      <c r="NA16">
        <v>0</v>
      </c>
      <c r="NB16">
        <v>0</v>
      </c>
      <c r="NC16">
        <v>0</v>
      </c>
      <c r="ND16">
        <v>0</v>
      </c>
      <c r="NE16">
        <v>2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1</v>
      </c>
      <c r="NW16">
        <v>0</v>
      </c>
      <c r="NX16">
        <v>0</v>
      </c>
      <c r="NY16">
        <v>2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1</v>
      </c>
      <c r="ON16">
        <v>0</v>
      </c>
      <c r="OO16">
        <v>1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2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4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1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2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</row>
    <row r="17" spans="1:467" x14ac:dyDescent="0.4">
      <c r="A17" t="str">
        <f>"9784065300787"</f>
        <v>9784065300787</v>
      </c>
      <c r="B17" t="str">
        <f>"4065300789"</f>
        <v>4065300789</v>
      </c>
      <c r="C17" t="s">
        <v>1871</v>
      </c>
      <c r="D17" t="s">
        <v>1872</v>
      </c>
      <c r="E17" t="s">
        <v>548</v>
      </c>
      <c r="F17" t="s">
        <v>1873</v>
      </c>
      <c r="G17" t="str">
        <f t="shared" si="0"/>
        <v>9979</v>
      </c>
      <c r="H17" t="s">
        <v>1855</v>
      </c>
      <c r="I17" t="s">
        <v>1856</v>
      </c>
      <c r="J17" t="s">
        <v>1856</v>
      </c>
      <c r="L17" s="1">
        <v>44917</v>
      </c>
      <c r="M17">
        <v>660</v>
      </c>
      <c r="N17">
        <v>113</v>
      </c>
      <c r="O17">
        <v>69</v>
      </c>
      <c r="P17">
        <v>113</v>
      </c>
      <c r="Q17">
        <v>69</v>
      </c>
      <c r="R17">
        <v>0</v>
      </c>
      <c r="S17">
        <v>0</v>
      </c>
      <c r="T17">
        <v>2</v>
      </c>
      <c r="U17">
        <v>0</v>
      </c>
      <c r="V17">
        <v>0</v>
      </c>
      <c r="W17">
        <v>0</v>
      </c>
      <c r="X17">
        <v>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</v>
      </c>
      <c r="AF17">
        <v>0</v>
      </c>
      <c r="AG17">
        <v>0</v>
      </c>
      <c r="AH17">
        <v>0</v>
      </c>
      <c r="AI17">
        <v>2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3</v>
      </c>
      <c r="BC17">
        <v>0</v>
      </c>
      <c r="BD17">
        <v>0</v>
      </c>
      <c r="BE17">
        <v>0</v>
      </c>
      <c r="BF17">
        <v>0</v>
      </c>
      <c r="BG17">
        <v>1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2</v>
      </c>
      <c r="BN17">
        <v>0</v>
      </c>
      <c r="BO17">
        <v>0</v>
      </c>
      <c r="BP17">
        <v>2</v>
      </c>
      <c r="BQ17">
        <v>0</v>
      </c>
      <c r="BR17">
        <v>3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2</v>
      </c>
      <c r="CI17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1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1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1</v>
      </c>
      <c r="DN17">
        <v>0</v>
      </c>
      <c r="DO17">
        <v>1</v>
      </c>
      <c r="DP17">
        <v>1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1</v>
      </c>
      <c r="DY17">
        <v>5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1</v>
      </c>
      <c r="EF17">
        <v>0</v>
      </c>
      <c r="EG17">
        <v>1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1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3</v>
      </c>
      <c r="ET17">
        <v>2</v>
      </c>
      <c r="EU17">
        <v>2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1</v>
      </c>
      <c r="FF17">
        <v>0</v>
      </c>
      <c r="FG17">
        <v>0</v>
      </c>
      <c r="FH17">
        <v>1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1</v>
      </c>
      <c r="FZ17">
        <v>0</v>
      </c>
      <c r="GA17">
        <v>0</v>
      </c>
      <c r="GB17">
        <v>0</v>
      </c>
      <c r="GC17">
        <v>1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</v>
      </c>
      <c r="GL17">
        <v>0</v>
      </c>
      <c r="GM17">
        <v>0</v>
      </c>
      <c r="GN17">
        <v>4</v>
      </c>
      <c r="GO17">
        <v>0</v>
      </c>
      <c r="GP17">
        <v>1</v>
      </c>
      <c r="GQ17">
        <v>3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1</v>
      </c>
      <c r="HG17">
        <v>0</v>
      </c>
      <c r="HH17">
        <v>1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2</v>
      </c>
      <c r="HV17">
        <v>5</v>
      </c>
      <c r="HW17">
        <v>1</v>
      </c>
      <c r="HX17">
        <v>0</v>
      </c>
      <c r="HY17">
        <v>1</v>
      </c>
      <c r="HZ17">
        <v>0</v>
      </c>
      <c r="IA17">
        <v>1</v>
      </c>
      <c r="IB17">
        <v>1</v>
      </c>
      <c r="IC17">
        <v>0</v>
      </c>
      <c r="ID17">
        <v>1</v>
      </c>
      <c r="IE17">
        <v>0</v>
      </c>
      <c r="IF17">
        <v>1</v>
      </c>
      <c r="IG17">
        <v>1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2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1</v>
      </c>
      <c r="IU17">
        <v>1</v>
      </c>
      <c r="IV17">
        <v>1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4</v>
      </c>
      <c r="JG17">
        <v>1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</v>
      </c>
      <c r="JN17">
        <v>0</v>
      </c>
      <c r="JO17">
        <v>0</v>
      </c>
      <c r="JP17">
        <v>0</v>
      </c>
      <c r="JQ17">
        <v>3</v>
      </c>
      <c r="JR17">
        <v>2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1</v>
      </c>
      <c r="KC17">
        <v>0</v>
      </c>
      <c r="KD17">
        <v>0</v>
      </c>
      <c r="KE17">
        <v>0</v>
      </c>
      <c r="KF17">
        <v>3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2</v>
      </c>
      <c r="KR17">
        <v>0</v>
      </c>
      <c r="KS17">
        <v>0</v>
      </c>
      <c r="KT17">
        <v>0</v>
      </c>
      <c r="KU17">
        <v>0</v>
      </c>
      <c r="KV17">
        <v>1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2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2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1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1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1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1</v>
      </c>
      <c r="PH17">
        <v>0</v>
      </c>
      <c r="PI17">
        <v>0</v>
      </c>
      <c r="PJ17">
        <v>1</v>
      </c>
      <c r="PK17">
        <v>0</v>
      </c>
      <c r="PL17">
        <v>0</v>
      </c>
      <c r="PM17">
        <v>2</v>
      </c>
      <c r="PN17">
        <v>0</v>
      </c>
      <c r="PO17">
        <v>0</v>
      </c>
      <c r="PP17">
        <v>0</v>
      </c>
      <c r="PQ17">
        <v>1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1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1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</row>
    <row r="18" spans="1:467" hidden="1" x14ac:dyDescent="0.4">
      <c r="A18" t="str">
        <f>"9784140912720"</f>
        <v>9784140912720</v>
      </c>
      <c r="B18" t="str">
        <f>"4140912723"</f>
        <v>4140912723</v>
      </c>
      <c r="C18" t="s">
        <v>1874</v>
      </c>
      <c r="D18" t="s">
        <v>1875</v>
      </c>
      <c r="E18" t="s">
        <v>480</v>
      </c>
      <c r="F18" t="s">
        <v>1876</v>
      </c>
      <c r="G18" t="str">
        <f>"1395"</f>
        <v>1395</v>
      </c>
      <c r="H18" t="s">
        <v>541</v>
      </c>
      <c r="I18" t="s">
        <v>1877</v>
      </c>
      <c r="J18" t="s">
        <v>509</v>
      </c>
      <c r="K18" t="s">
        <v>1878</v>
      </c>
      <c r="L18" s="1">
        <v>44586</v>
      </c>
      <c r="M18">
        <v>1400</v>
      </c>
      <c r="N18">
        <v>107</v>
      </c>
      <c r="O18">
        <v>44</v>
      </c>
      <c r="P18">
        <v>107</v>
      </c>
      <c r="Q18">
        <v>44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6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8</v>
      </c>
      <c r="CI18">
        <v>2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2</v>
      </c>
      <c r="CU18">
        <v>0</v>
      </c>
      <c r="CV18">
        <v>0</v>
      </c>
      <c r="CW18">
        <v>0</v>
      </c>
      <c r="CX18">
        <v>1</v>
      </c>
      <c r="CY18">
        <v>0</v>
      </c>
      <c r="CZ18">
        <v>0</v>
      </c>
      <c r="DA18">
        <v>0</v>
      </c>
      <c r="DB18">
        <v>0</v>
      </c>
      <c r="DC18">
        <v>2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1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1</v>
      </c>
      <c r="DZ18">
        <v>0</v>
      </c>
      <c r="EA18">
        <v>0</v>
      </c>
      <c r="EB18">
        <v>1</v>
      </c>
      <c r="EC18">
        <v>0</v>
      </c>
      <c r="ED18">
        <v>1</v>
      </c>
      <c r="EE18">
        <v>0</v>
      </c>
      <c r="EF18">
        <v>0</v>
      </c>
      <c r="EG18">
        <v>0</v>
      </c>
      <c r="EH18">
        <v>2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1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1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1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1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2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1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1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1</v>
      </c>
      <c r="IC18">
        <v>0</v>
      </c>
      <c r="ID18">
        <v>0</v>
      </c>
      <c r="IE18">
        <v>0</v>
      </c>
      <c r="IF18">
        <v>8</v>
      </c>
      <c r="IG18">
        <v>1</v>
      </c>
      <c r="IH18">
        <v>0</v>
      </c>
      <c r="II18">
        <v>0</v>
      </c>
      <c r="IJ18">
        <v>0</v>
      </c>
      <c r="IK18">
        <v>2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2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12</v>
      </c>
      <c r="JN18">
        <v>0</v>
      </c>
      <c r="JO18">
        <v>0</v>
      </c>
      <c r="JP18">
        <v>0</v>
      </c>
      <c r="JQ18">
        <v>4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1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1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2</v>
      </c>
      <c r="LI18">
        <v>0</v>
      </c>
      <c r="LJ18">
        <v>0</v>
      </c>
      <c r="LK18">
        <v>0</v>
      </c>
      <c r="LL18">
        <v>0</v>
      </c>
      <c r="LM18">
        <v>17</v>
      </c>
      <c r="LN18">
        <v>0</v>
      </c>
      <c r="LO18">
        <v>1</v>
      </c>
      <c r="LP18">
        <v>2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1</v>
      </c>
      <c r="LW18">
        <v>1</v>
      </c>
      <c r="LX18">
        <v>1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1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6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1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1</v>
      </c>
      <c r="NZ18">
        <v>0</v>
      </c>
      <c r="OA18">
        <v>0</v>
      </c>
      <c r="OB18">
        <v>1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1</v>
      </c>
      <c r="PK18">
        <v>1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</row>
    <row r="19" spans="1:467" x14ac:dyDescent="0.4">
      <c r="A19" t="str">
        <f>"9784098515325"</f>
        <v>9784098515325</v>
      </c>
      <c r="B19" t="str">
        <f>"4098515326"</f>
        <v>4098515326</v>
      </c>
      <c r="C19" t="s">
        <v>1879</v>
      </c>
      <c r="D19" t="s">
        <v>1880</v>
      </c>
      <c r="E19" t="s">
        <v>1069</v>
      </c>
      <c r="F19" t="s">
        <v>1881</v>
      </c>
      <c r="G19" t="str">
        <f>"9979"</f>
        <v>9979</v>
      </c>
      <c r="H19" t="s">
        <v>1855</v>
      </c>
      <c r="I19" t="s">
        <v>1856</v>
      </c>
      <c r="J19" t="s">
        <v>1856</v>
      </c>
      <c r="L19" s="1">
        <v>44944</v>
      </c>
      <c r="M19">
        <v>500</v>
      </c>
      <c r="N19">
        <v>94</v>
      </c>
      <c r="O19">
        <v>57</v>
      </c>
      <c r="P19">
        <v>94</v>
      </c>
      <c r="Q19">
        <v>57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</v>
      </c>
      <c r="AB19">
        <v>0</v>
      </c>
      <c r="AC19">
        <v>0</v>
      </c>
      <c r="AD19">
        <v>0</v>
      </c>
      <c r="AE19">
        <v>1</v>
      </c>
      <c r="AF19">
        <v>0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9</v>
      </c>
      <c r="BC19">
        <v>1</v>
      </c>
      <c r="BD19">
        <v>0</v>
      </c>
      <c r="BE19">
        <v>1</v>
      </c>
      <c r="BF19">
        <v>0</v>
      </c>
      <c r="BG19">
        <v>3</v>
      </c>
      <c r="BH19">
        <v>0</v>
      </c>
      <c r="BI19">
        <v>3</v>
      </c>
      <c r="BJ19">
        <v>1</v>
      </c>
      <c r="BK19">
        <v>0</v>
      </c>
      <c r="BL19">
        <v>0</v>
      </c>
      <c r="BM19">
        <v>2</v>
      </c>
      <c r="BN19">
        <v>0</v>
      </c>
      <c r="BO19">
        <v>0</v>
      </c>
      <c r="BP19">
        <v>1</v>
      </c>
      <c r="BQ19">
        <v>3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1</v>
      </c>
      <c r="DK19">
        <v>0</v>
      </c>
      <c r="DL19">
        <v>0</v>
      </c>
      <c r="DM19">
        <v>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1</v>
      </c>
      <c r="EU19">
        <v>0</v>
      </c>
      <c r="EV19">
        <v>0</v>
      </c>
      <c r="EW19">
        <v>0</v>
      </c>
      <c r="EX19">
        <v>0</v>
      </c>
      <c r="EY19">
        <v>1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1</v>
      </c>
      <c r="FF19">
        <v>0</v>
      </c>
      <c r="FG19">
        <v>0</v>
      </c>
      <c r="FH19">
        <v>1</v>
      </c>
      <c r="FI19">
        <v>0</v>
      </c>
      <c r="FJ19">
        <v>1</v>
      </c>
      <c r="FK19">
        <v>0</v>
      </c>
      <c r="FL19">
        <v>0</v>
      </c>
      <c r="FM19">
        <v>0</v>
      </c>
      <c r="FN19">
        <v>1</v>
      </c>
      <c r="FO19">
        <v>2</v>
      </c>
      <c r="FP19">
        <v>0</v>
      </c>
      <c r="FQ19">
        <v>0</v>
      </c>
      <c r="FR19">
        <v>0</v>
      </c>
      <c r="FS19">
        <v>0</v>
      </c>
      <c r="FT19">
        <v>2</v>
      </c>
      <c r="FU19">
        <v>0</v>
      </c>
      <c r="FV19">
        <v>1</v>
      </c>
      <c r="FW19">
        <v>0</v>
      </c>
      <c r="FX19">
        <v>0</v>
      </c>
      <c r="FY19">
        <v>1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1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</v>
      </c>
      <c r="HE19">
        <v>0</v>
      </c>
      <c r="HF19">
        <v>0</v>
      </c>
      <c r="HG19">
        <v>0</v>
      </c>
      <c r="HH19">
        <v>1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1</v>
      </c>
      <c r="HV19">
        <v>3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3</v>
      </c>
      <c r="IG19">
        <v>0</v>
      </c>
      <c r="IH19">
        <v>1</v>
      </c>
      <c r="II19">
        <v>0</v>
      </c>
      <c r="IJ19">
        <v>0</v>
      </c>
      <c r="IK19">
        <v>0</v>
      </c>
      <c r="IL19">
        <v>1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2</v>
      </c>
      <c r="IU19">
        <v>0</v>
      </c>
      <c r="IV19">
        <v>2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2</v>
      </c>
      <c r="JG19">
        <v>0</v>
      </c>
      <c r="JH19">
        <v>1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1</v>
      </c>
      <c r="JR19">
        <v>3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3</v>
      </c>
      <c r="KC19">
        <v>0</v>
      </c>
      <c r="KD19">
        <v>0</v>
      </c>
      <c r="KE19">
        <v>0</v>
      </c>
      <c r="KF19">
        <v>3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1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1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1</v>
      </c>
      <c r="NA19">
        <v>0</v>
      </c>
      <c r="NB19">
        <v>0</v>
      </c>
      <c r="NC19">
        <v>0</v>
      </c>
      <c r="ND19">
        <v>0</v>
      </c>
      <c r="NE19">
        <v>3</v>
      </c>
      <c r="NF19">
        <v>1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1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1</v>
      </c>
      <c r="OO19">
        <v>2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2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1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2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</row>
    <row r="20" spans="1:467" hidden="1" x14ac:dyDescent="0.4">
      <c r="A20" t="str">
        <f>"9784791704255"</f>
        <v>9784791704255</v>
      </c>
      <c r="B20" t="str">
        <f>"4791704258"</f>
        <v>4791704258</v>
      </c>
      <c r="C20" t="s">
        <v>1882</v>
      </c>
      <c r="E20" t="s">
        <v>1883</v>
      </c>
      <c r="G20" t="str">
        <f>"9490"</f>
        <v>9490</v>
      </c>
      <c r="H20" t="s">
        <v>1855</v>
      </c>
      <c r="I20" t="s">
        <v>1884</v>
      </c>
      <c r="J20" t="s">
        <v>1885</v>
      </c>
      <c r="L20" s="1">
        <v>44922</v>
      </c>
      <c r="M20">
        <v>1800</v>
      </c>
      <c r="N20">
        <v>90</v>
      </c>
      <c r="O20">
        <v>61</v>
      </c>
      <c r="P20">
        <v>90</v>
      </c>
      <c r="Q20">
        <v>61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1</v>
      </c>
      <c r="AB20">
        <v>0</v>
      </c>
      <c r="AC20">
        <v>0</v>
      </c>
      <c r="AD20">
        <v>0</v>
      </c>
      <c r="AE20">
        <v>1</v>
      </c>
      <c r="AF20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1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1</v>
      </c>
      <c r="CD20">
        <v>0</v>
      </c>
      <c r="CE20">
        <v>0</v>
      </c>
      <c r="CF20">
        <v>0</v>
      </c>
      <c r="CG20">
        <v>0</v>
      </c>
      <c r="CH20">
        <v>3</v>
      </c>
      <c r="CI20">
        <v>3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1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4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1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</v>
      </c>
      <c r="DX20">
        <v>0</v>
      </c>
      <c r="DY20">
        <v>1</v>
      </c>
      <c r="DZ20">
        <v>0</v>
      </c>
      <c r="EA20">
        <v>0</v>
      </c>
      <c r="EB20">
        <v>1</v>
      </c>
      <c r="EC20">
        <v>0</v>
      </c>
      <c r="ED20">
        <v>1</v>
      </c>
      <c r="EE20">
        <v>0</v>
      </c>
      <c r="EF20">
        <v>0</v>
      </c>
      <c r="EG20">
        <v>0</v>
      </c>
      <c r="EH20">
        <v>6</v>
      </c>
      <c r="EI20">
        <v>0</v>
      </c>
      <c r="EJ20">
        <v>0</v>
      </c>
      <c r="EK20">
        <v>0</v>
      </c>
      <c r="EL20">
        <v>0</v>
      </c>
      <c r="EM20">
        <v>1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1</v>
      </c>
      <c r="EW20">
        <v>0</v>
      </c>
      <c r="EX20">
        <v>0</v>
      </c>
      <c r="EY20">
        <v>0</v>
      </c>
      <c r="EZ20">
        <v>1</v>
      </c>
      <c r="FA20">
        <v>0</v>
      </c>
      <c r="FB20">
        <v>0</v>
      </c>
      <c r="FC20">
        <v>0</v>
      </c>
      <c r="FD20">
        <v>0</v>
      </c>
      <c r="FE20">
        <v>2</v>
      </c>
      <c r="FF20">
        <v>0</v>
      </c>
      <c r="FG20">
        <v>0</v>
      </c>
      <c r="FH20">
        <v>1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1</v>
      </c>
      <c r="FQ20">
        <v>0</v>
      </c>
      <c r="FR20">
        <v>0</v>
      </c>
      <c r="FS20">
        <v>0</v>
      </c>
      <c r="FT20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1</v>
      </c>
      <c r="GJ20">
        <v>0</v>
      </c>
      <c r="GK20">
        <v>0</v>
      </c>
      <c r="GL20">
        <v>1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1</v>
      </c>
      <c r="GU20">
        <v>0</v>
      </c>
      <c r="GV20">
        <v>0</v>
      </c>
      <c r="GW20">
        <v>0</v>
      </c>
      <c r="GX20">
        <v>1</v>
      </c>
      <c r="GY20">
        <v>0</v>
      </c>
      <c r="GZ20">
        <v>0</v>
      </c>
      <c r="HA20">
        <v>0</v>
      </c>
      <c r="HB20">
        <v>0</v>
      </c>
      <c r="HC20">
        <v>2</v>
      </c>
      <c r="HD20">
        <v>0</v>
      </c>
      <c r="HE20">
        <v>0</v>
      </c>
      <c r="HF20">
        <v>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1</v>
      </c>
      <c r="HN20">
        <v>0</v>
      </c>
      <c r="HO20">
        <v>0</v>
      </c>
      <c r="HP20">
        <v>1</v>
      </c>
      <c r="HQ20">
        <v>0</v>
      </c>
      <c r="HR20">
        <v>0</v>
      </c>
      <c r="HS20">
        <v>0</v>
      </c>
      <c r="HT20">
        <v>0</v>
      </c>
      <c r="HU20">
        <v>1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1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1</v>
      </c>
      <c r="IP20">
        <v>0</v>
      </c>
      <c r="IQ20">
        <v>0</v>
      </c>
      <c r="IR20">
        <v>0</v>
      </c>
      <c r="IS20">
        <v>1</v>
      </c>
      <c r="IT20">
        <v>0</v>
      </c>
      <c r="IU20">
        <v>0</v>
      </c>
      <c r="IV20">
        <v>2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12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1</v>
      </c>
      <c r="JO20">
        <v>0</v>
      </c>
      <c r="JP20">
        <v>0</v>
      </c>
      <c r="JQ20">
        <v>1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1</v>
      </c>
      <c r="KH20">
        <v>0</v>
      </c>
      <c r="KI20">
        <v>0</v>
      </c>
      <c r="KJ20">
        <v>0</v>
      </c>
      <c r="KK20">
        <v>0</v>
      </c>
      <c r="KL20">
        <v>1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1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1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1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1</v>
      </c>
      <c r="LS20">
        <v>1</v>
      </c>
      <c r="LT20">
        <v>0</v>
      </c>
      <c r="LU20">
        <v>0</v>
      </c>
      <c r="LV20">
        <v>1</v>
      </c>
      <c r="LW20">
        <v>2</v>
      </c>
      <c r="LX20">
        <v>0</v>
      </c>
      <c r="LY20">
        <v>0</v>
      </c>
      <c r="LZ20">
        <v>0</v>
      </c>
      <c r="MA20">
        <v>0</v>
      </c>
      <c r="MB20">
        <v>1</v>
      </c>
      <c r="MC20">
        <v>0</v>
      </c>
      <c r="MD20">
        <v>1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1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1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2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1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1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2</v>
      </c>
      <c r="PU20">
        <v>0</v>
      </c>
      <c r="PV20">
        <v>0</v>
      </c>
      <c r="PW20">
        <v>1</v>
      </c>
      <c r="PX20">
        <v>0</v>
      </c>
      <c r="PY20">
        <v>0</v>
      </c>
      <c r="PZ20">
        <v>0</v>
      </c>
      <c r="QA20">
        <v>0</v>
      </c>
      <c r="QB20">
        <v>1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1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1</v>
      </c>
    </row>
    <row r="21" spans="1:467" x14ac:dyDescent="0.4">
      <c r="A21" t="str">
        <f>"9784088834238"</f>
        <v>9784088834238</v>
      </c>
      <c r="B21" t="str">
        <f>"4088834232"</f>
        <v>4088834232</v>
      </c>
      <c r="C21" t="s">
        <v>1886</v>
      </c>
      <c r="D21" t="s">
        <v>1887</v>
      </c>
      <c r="E21" t="s">
        <v>536</v>
      </c>
      <c r="F21" t="s">
        <v>1854</v>
      </c>
      <c r="G21" t="str">
        <f>"9979"</f>
        <v>9979</v>
      </c>
      <c r="H21" t="s">
        <v>1855</v>
      </c>
      <c r="I21" t="s">
        <v>1856</v>
      </c>
      <c r="J21" t="s">
        <v>1856</v>
      </c>
      <c r="L21" s="1">
        <v>44930</v>
      </c>
      <c r="M21">
        <v>480</v>
      </c>
      <c r="N21">
        <v>87</v>
      </c>
      <c r="O21">
        <v>52</v>
      </c>
      <c r="P21">
        <v>87</v>
      </c>
      <c r="Q21">
        <v>52</v>
      </c>
      <c r="R21">
        <v>0</v>
      </c>
      <c r="S21">
        <v>2</v>
      </c>
      <c r="T21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4</v>
      </c>
      <c r="BC21">
        <v>1</v>
      </c>
      <c r="BD21">
        <v>0</v>
      </c>
      <c r="BE21">
        <v>0</v>
      </c>
      <c r="BF21">
        <v>0</v>
      </c>
      <c r="BG21">
        <v>1</v>
      </c>
      <c r="BH21">
        <v>0</v>
      </c>
      <c r="BI21">
        <v>1</v>
      </c>
      <c r="BJ21">
        <v>1</v>
      </c>
      <c r="BK21">
        <v>0</v>
      </c>
      <c r="BL21">
        <v>1</v>
      </c>
      <c r="BM21">
        <v>0</v>
      </c>
      <c r="BN21">
        <v>0</v>
      </c>
      <c r="BO21">
        <v>1</v>
      </c>
      <c r="BP21">
        <v>0</v>
      </c>
      <c r="BQ21">
        <v>1</v>
      </c>
      <c r="BR21">
        <v>0</v>
      </c>
      <c r="BS21">
        <v>0</v>
      </c>
      <c r="BT21">
        <v>0</v>
      </c>
      <c r="BU21">
        <v>1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5</v>
      </c>
      <c r="CI21">
        <v>3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1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3</v>
      </c>
      <c r="DZ21">
        <v>0</v>
      </c>
      <c r="EA21">
        <v>0</v>
      </c>
      <c r="EB21">
        <v>0</v>
      </c>
      <c r="EC21">
        <v>0</v>
      </c>
      <c r="ED21">
        <v>1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1</v>
      </c>
      <c r="EU21">
        <v>1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1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2</v>
      </c>
      <c r="GO21">
        <v>0</v>
      </c>
      <c r="GP21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1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2</v>
      </c>
      <c r="HG21">
        <v>0</v>
      </c>
      <c r="HH21">
        <v>0</v>
      </c>
      <c r="HI21">
        <v>0</v>
      </c>
      <c r="HJ21">
        <v>0</v>
      </c>
      <c r="HK21">
        <v>3</v>
      </c>
      <c r="HL21">
        <v>1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1</v>
      </c>
      <c r="HV21">
        <v>4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1</v>
      </c>
      <c r="IG21">
        <v>0</v>
      </c>
      <c r="IH21">
        <v>1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1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1</v>
      </c>
      <c r="JB21">
        <v>0</v>
      </c>
      <c r="JC21">
        <v>0</v>
      </c>
      <c r="JD21">
        <v>0</v>
      </c>
      <c r="JE21">
        <v>0</v>
      </c>
      <c r="JF21">
        <v>9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1</v>
      </c>
      <c r="JQ21">
        <v>2</v>
      </c>
      <c r="JR21">
        <v>1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7</v>
      </c>
      <c r="KC21">
        <v>1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1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2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1</v>
      </c>
      <c r="LW21">
        <v>1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1</v>
      </c>
      <c r="NA21">
        <v>0</v>
      </c>
      <c r="NB21">
        <v>0</v>
      </c>
      <c r="NC21">
        <v>0</v>
      </c>
      <c r="ND21">
        <v>0</v>
      </c>
      <c r="NE21">
        <v>1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1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1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1</v>
      </c>
      <c r="PH21">
        <v>0</v>
      </c>
      <c r="PI21">
        <v>0</v>
      </c>
      <c r="PJ21">
        <v>0</v>
      </c>
      <c r="PK21">
        <v>1</v>
      </c>
      <c r="PL21">
        <v>0</v>
      </c>
      <c r="PM21">
        <v>1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1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</row>
    <row r="22" spans="1:467" hidden="1" x14ac:dyDescent="0.4">
      <c r="A22" t="str">
        <f>"9784791704262"</f>
        <v>9784791704262</v>
      </c>
      <c r="B22" t="str">
        <f>"4791704266"</f>
        <v>4791704266</v>
      </c>
      <c r="C22" t="s">
        <v>1888</v>
      </c>
      <c r="E22" t="s">
        <v>1883</v>
      </c>
      <c r="G22" t="str">
        <f>"9490"</f>
        <v>9490</v>
      </c>
      <c r="H22" t="s">
        <v>1855</v>
      </c>
      <c r="I22" t="s">
        <v>1884</v>
      </c>
      <c r="J22" t="s">
        <v>1885</v>
      </c>
      <c r="L22" s="1">
        <v>44922</v>
      </c>
      <c r="M22">
        <v>2800</v>
      </c>
      <c r="N22">
        <v>85</v>
      </c>
      <c r="O22">
        <v>62</v>
      </c>
      <c r="P22">
        <v>85</v>
      </c>
      <c r="Q22">
        <v>62</v>
      </c>
      <c r="R22">
        <v>0</v>
      </c>
      <c r="S22">
        <v>1</v>
      </c>
      <c r="T22">
        <v>0</v>
      </c>
      <c r="U22">
        <v>1</v>
      </c>
      <c r="V22">
        <v>0</v>
      </c>
      <c r="W22">
        <v>0</v>
      </c>
      <c r="X22">
        <v>0</v>
      </c>
      <c r="Y22">
        <v>0</v>
      </c>
      <c r="Z22">
        <v>0</v>
      </c>
      <c r="AA22">
        <v>1</v>
      </c>
      <c r="AB22">
        <v>0</v>
      </c>
      <c r="AC22">
        <v>0</v>
      </c>
      <c r="AD22">
        <v>0</v>
      </c>
      <c r="AE22">
        <v>1</v>
      </c>
      <c r="AF22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2</v>
      </c>
      <c r="BC22">
        <v>0</v>
      </c>
      <c r="BD22">
        <v>0</v>
      </c>
      <c r="BE22">
        <v>1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1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1</v>
      </c>
      <c r="CD22">
        <v>0</v>
      </c>
      <c r="CE22">
        <v>0</v>
      </c>
      <c r="CF22">
        <v>0</v>
      </c>
      <c r="CG22">
        <v>0</v>
      </c>
      <c r="CH22">
        <v>2</v>
      </c>
      <c r="CI22">
        <v>3</v>
      </c>
      <c r="CJ22">
        <v>0</v>
      </c>
      <c r="CK22">
        <v>1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3</v>
      </c>
      <c r="CR22">
        <v>0</v>
      </c>
      <c r="CS22">
        <v>3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3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1</v>
      </c>
      <c r="DX22">
        <v>0</v>
      </c>
      <c r="DY22">
        <v>1</v>
      </c>
      <c r="DZ22">
        <v>0</v>
      </c>
      <c r="EA22">
        <v>0</v>
      </c>
      <c r="EB22">
        <v>0</v>
      </c>
      <c r="EC22">
        <v>0</v>
      </c>
      <c r="ED22">
        <v>2</v>
      </c>
      <c r="EE22">
        <v>0</v>
      </c>
      <c r="EF22">
        <v>0</v>
      </c>
      <c r="EG22">
        <v>0</v>
      </c>
      <c r="EH22">
        <v>1</v>
      </c>
      <c r="EI22">
        <v>0</v>
      </c>
      <c r="EJ22">
        <v>0</v>
      </c>
      <c r="EK22">
        <v>0</v>
      </c>
      <c r="EL22">
        <v>0</v>
      </c>
      <c r="EM22">
        <v>1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1</v>
      </c>
      <c r="FA22">
        <v>0</v>
      </c>
      <c r="FB22">
        <v>0</v>
      </c>
      <c r="FC22">
        <v>0</v>
      </c>
      <c r="FD22">
        <v>0</v>
      </c>
      <c r="FE22">
        <v>1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1</v>
      </c>
      <c r="FQ22">
        <v>0</v>
      </c>
      <c r="FR22">
        <v>0</v>
      </c>
      <c r="FS22">
        <v>0</v>
      </c>
      <c r="FT22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1</v>
      </c>
      <c r="GM22">
        <v>0</v>
      </c>
      <c r="GN22">
        <v>1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1</v>
      </c>
      <c r="GU22">
        <v>0</v>
      </c>
      <c r="GV22">
        <v>0</v>
      </c>
      <c r="GW22">
        <v>0</v>
      </c>
      <c r="GX22">
        <v>1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0</v>
      </c>
      <c r="HF22">
        <v>1</v>
      </c>
      <c r="HG22">
        <v>0</v>
      </c>
      <c r="HH22">
        <v>0</v>
      </c>
      <c r="HI22">
        <v>0</v>
      </c>
      <c r="HJ22">
        <v>0</v>
      </c>
      <c r="HK22">
        <v>1</v>
      </c>
      <c r="HL22">
        <v>0</v>
      </c>
      <c r="HM22">
        <v>1</v>
      </c>
      <c r="HN22">
        <v>0</v>
      </c>
      <c r="HO22">
        <v>0</v>
      </c>
      <c r="HP22">
        <v>1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1</v>
      </c>
      <c r="IG22">
        <v>0</v>
      </c>
      <c r="IH22">
        <v>0</v>
      </c>
      <c r="II22">
        <v>0</v>
      </c>
      <c r="IJ22">
        <v>0</v>
      </c>
      <c r="IK22">
        <v>2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1</v>
      </c>
      <c r="IT22">
        <v>0</v>
      </c>
      <c r="IU22">
        <v>0</v>
      </c>
      <c r="IV22">
        <v>2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2</v>
      </c>
      <c r="JC22">
        <v>1</v>
      </c>
      <c r="JD22">
        <v>0</v>
      </c>
      <c r="JE22">
        <v>0</v>
      </c>
      <c r="JF22">
        <v>2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3</v>
      </c>
      <c r="JN22">
        <v>1</v>
      </c>
      <c r="JO22">
        <v>0</v>
      </c>
      <c r="JP22">
        <v>0</v>
      </c>
      <c r="JQ22">
        <v>2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1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1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1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1</v>
      </c>
      <c r="LQ22">
        <v>0</v>
      </c>
      <c r="LR22">
        <v>1</v>
      </c>
      <c r="LS22">
        <v>1</v>
      </c>
      <c r="LT22">
        <v>0</v>
      </c>
      <c r="LU22">
        <v>0</v>
      </c>
      <c r="LV22">
        <v>1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1</v>
      </c>
      <c r="MC22">
        <v>0</v>
      </c>
      <c r="MD22">
        <v>1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1</v>
      </c>
      <c r="NC22">
        <v>0</v>
      </c>
      <c r="ND22">
        <v>0</v>
      </c>
      <c r="NE22">
        <v>2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3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1</v>
      </c>
      <c r="NZ22">
        <v>0</v>
      </c>
      <c r="OA22">
        <v>0</v>
      </c>
      <c r="OB22">
        <v>1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3</v>
      </c>
      <c r="PU22">
        <v>0</v>
      </c>
      <c r="PV22">
        <v>1</v>
      </c>
      <c r="PW22">
        <v>1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1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1</v>
      </c>
    </row>
    <row r="23" spans="1:467" x14ac:dyDescent="0.4">
      <c r="A23" t="str">
        <f>"9784088925738"</f>
        <v>9784088925738</v>
      </c>
      <c r="B23" t="str">
        <f>"4088925734"</f>
        <v>4088925734</v>
      </c>
      <c r="C23" t="s">
        <v>1889</v>
      </c>
      <c r="D23" t="s">
        <v>1890</v>
      </c>
      <c r="E23" t="s">
        <v>536</v>
      </c>
      <c r="F23" t="s">
        <v>1859</v>
      </c>
      <c r="G23" t="str">
        <f>"9979"</f>
        <v>9979</v>
      </c>
      <c r="H23" t="s">
        <v>1855</v>
      </c>
      <c r="I23" t="s">
        <v>1856</v>
      </c>
      <c r="J23" t="s">
        <v>1856</v>
      </c>
      <c r="L23" s="1">
        <v>44945</v>
      </c>
      <c r="M23">
        <v>750</v>
      </c>
      <c r="N23">
        <v>83</v>
      </c>
      <c r="O23">
        <v>36</v>
      </c>
      <c r="P23">
        <v>83</v>
      </c>
      <c r="Q23">
        <v>36</v>
      </c>
      <c r="R23">
        <v>0</v>
      </c>
      <c r="S23">
        <v>0</v>
      </c>
      <c r="T23">
        <v>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8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12</v>
      </c>
      <c r="BC23">
        <v>0</v>
      </c>
      <c r="BD23">
        <v>1</v>
      </c>
      <c r="BE23">
        <v>0</v>
      </c>
      <c r="BF23">
        <v>0</v>
      </c>
      <c r="BG23">
        <v>1</v>
      </c>
      <c r="BH23">
        <v>0</v>
      </c>
      <c r="BI23">
        <v>1</v>
      </c>
      <c r="BJ23">
        <v>0</v>
      </c>
      <c r="BK23">
        <v>0</v>
      </c>
      <c r="BL23">
        <v>0</v>
      </c>
      <c r="BM23">
        <v>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1</v>
      </c>
      <c r="CI23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2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1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1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4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1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1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1</v>
      </c>
      <c r="HV23">
        <v>1</v>
      </c>
      <c r="HW23">
        <v>0</v>
      </c>
      <c r="HX23">
        <v>0</v>
      </c>
      <c r="HY23">
        <v>2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2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2</v>
      </c>
      <c r="IU23">
        <v>0</v>
      </c>
      <c r="IV23">
        <v>0</v>
      </c>
      <c r="IW23">
        <v>0</v>
      </c>
      <c r="IX23">
        <v>0</v>
      </c>
      <c r="IY23">
        <v>3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1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4</v>
      </c>
      <c r="JR23">
        <v>4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4</v>
      </c>
      <c r="KC23">
        <v>0</v>
      </c>
      <c r="KD23">
        <v>0</v>
      </c>
      <c r="KE23">
        <v>0</v>
      </c>
      <c r="KF23">
        <v>1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5</v>
      </c>
      <c r="KR23">
        <v>0</v>
      </c>
      <c r="KS23">
        <v>0</v>
      </c>
      <c r="KT23">
        <v>0</v>
      </c>
      <c r="KU23">
        <v>0</v>
      </c>
      <c r="KV23">
        <v>2</v>
      </c>
      <c r="KW23">
        <v>1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1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2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1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1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1</v>
      </c>
      <c r="QU23">
        <v>0</v>
      </c>
      <c r="QV23">
        <v>0</v>
      </c>
      <c r="QW23">
        <v>0</v>
      </c>
      <c r="QX23">
        <v>0</v>
      </c>
      <c r="QY23">
        <v>0</v>
      </c>
    </row>
    <row r="24" spans="1:467" hidden="1" x14ac:dyDescent="0.4">
      <c r="A24" t="str">
        <f>"9784163915968"</f>
        <v>9784163915968</v>
      </c>
      <c r="B24" t="str">
        <f>"4163915966"</f>
        <v>4163915966</v>
      </c>
      <c r="C24" t="s">
        <v>1891</v>
      </c>
      <c r="D24" t="s">
        <v>1892</v>
      </c>
      <c r="E24" t="s">
        <v>639</v>
      </c>
      <c r="G24" t="str">
        <f>"0098"</f>
        <v>0098</v>
      </c>
      <c r="H24" t="s">
        <v>481</v>
      </c>
      <c r="I24" t="s">
        <v>1893</v>
      </c>
      <c r="J24" t="s">
        <v>1894</v>
      </c>
      <c r="L24" s="1">
        <v>44816</v>
      </c>
      <c r="M24">
        <v>3400</v>
      </c>
      <c r="N24">
        <v>82</v>
      </c>
      <c r="O24">
        <v>55</v>
      </c>
      <c r="P24">
        <v>82</v>
      </c>
      <c r="Q24">
        <v>55</v>
      </c>
      <c r="R24">
        <v>0</v>
      </c>
      <c r="S24">
        <v>0</v>
      </c>
      <c r="T24">
        <v>1</v>
      </c>
      <c r="U24">
        <v>0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1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1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1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12</v>
      </c>
      <c r="CI24">
        <v>3</v>
      </c>
      <c r="CJ24">
        <v>1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1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1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1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2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1</v>
      </c>
      <c r="EU24">
        <v>0</v>
      </c>
      <c r="EV24">
        <v>0</v>
      </c>
      <c r="EW24">
        <v>1</v>
      </c>
      <c r="EX24">
        <v>0</v>
      </c>
      <c r="EY24">
        <v>0</v>
      </c>
      <c r="EZ24">
        <v>0</v>
      </c>
      <c r="FA24">
        <v>1</v>
      </c>
      <c r="FB24">
        <v>0</v>
      </c>
      <c r="FC24">
        <v>0</v>
      </c>
      <c r="FD24">
        <v>1</v>
      </c>
      <c r="FE24">
        <v>0</v>
      </c>
      <c r="FF24">
        <v>0</v>
      </c>
      <c r="FG24">
        <v>0</v>
      </c>
      <c r="FH24">
        <v>1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2</v>
      </c>
      <c r="FP24">
        <v>0</v>
      </c>
      <c r="FQ24">
        <v>0</v>
      </c>
      <c r="FR24">
        <v>0</v>
      </c>
      <c r="FS24">
        <v>0</v>
      </c>
      <c r="FT24">
        <v>1</v>
      </c>
      <c r="FU24">
        <v>0</v>
      </c>
      <c r="FV24">
        <v>3</v>
      </c>
      <c r="FW24">
        <v>0</v>
      </c>
      <c r="FX24">
        <v>1</v>
      </c>
      <c r="FY24">
        <v>2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1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1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1</v>
      </c>
      <c r="HV24">
        <v>0</v>
      </c>
      <c r="HW24">
        <v>1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2</v>
      </c>
      <c r="ID24">
        <v>1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1</v>
      </c>
      <c r="IP24">
        <v>0</v>
      </c>
      <c r="IQ24">
        <v>2</v>
      </c>
      <c r="IR24">
        <v>0</v>
      </c>
      <c r="IS24">
        <v>0</v>
      </c>
      <c r="IT24">
        <v>0</v>
      </c>
      <c r="IU24">
        <v>0</v>
      </c>
      <c r="IV24">
        <v>2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5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1</v>
      </c>
      <c r="JN24">
        <v>1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1</v>
      </c>
      <c r="JX24">
        <v>1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1</v>
      </c>
      <c r="LS24">
        <v>1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1</v>
      </c>
      <c r="MM24">
        <v>0</v>
      </c>
      <c r="MN24">
        <v>1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1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1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1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2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1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1</v>
      </c>
      <c r="PH24">
        <v>1</v>
      </c>
      <c r="PI24">
        <v>0</v>
      </c>
      <c r="PJ24">
        <v>0</v>
      </c>
      <c r="PK24">
        <v>0</v>
      </c>
      <c r="PL24">
        <v>2</v>
      </c>
      <c r="PM24">
        <v>1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1</v>
      </c>
      <c r="PU24">
        <v>1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1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</row>
    <row r="25" spans="1:467" x14ac:dyDescent="0.4">
      <c r="A25" t="str">
        <f>"9784592193791"</f>
        <v>9784592193791</v>
      </c>
      <c r="B25" t="str">
        <f>"4592193792"</f>
        <v>4592193792</v>
      </c>
      <c r="C25" t="s">
        <v>1895</v>
      </c>
      <c r="D25" t="s">
        <v>1896</v>
      </c>
      <c r="E25" t="s">
        <v>1897</v>
      </c>
      <c r="F25" t="s">
        <v>1898</v>
      </c>
      <c r="G25" t="str">
        <f>"9979"</f>
        <v>9979</v>
      </c>
      <c r="H25" t="s">
        <v>1855</v>
      </c>
      <c r="I25" t="s">
        <v>1856</v>
      </c>
      <c r="J25" t="s">
        <v>1856</v>
      </c>
      <c r="L25" s="1">
        <v>44930</v>
      </c>
      <c r="M25">
        <v>450</v>
      </c>
      <c r="N25">
        <v>76</v>
      </c>
      <c r="O25">
        <v>51</v>
      </c>
      <c r="P25">
        <v>76</v>
      </c>
      <c r="Q25">
        <v>51</v>
      </c>
      <c r="R25">
        <v>0</v>
      </c>
      <c r="S25">
        <v>0</v>
      </c>
      <c r="T25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2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1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5</v>
      </c>
      <c r="CI25">
        <v>1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1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3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1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1</v>
      </c>
      <c r="FB25">
        <v>0</v>
      </c>
      <c r="FC25">
        <v>0</v>
      </c>
      <c r="FD25">
        <v>1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1</v>
      </c>
      <c r="FZ25">
        <v>2</v>
      </c>
      <c r="GA25">
        <v>0</v>
      </c>
      <c r="GB25">
        <v>0</v>
      </c>
      <c r="GC25">
        <v>2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1</v>
      </c>
      <c r="GJ25">
        <v>0</v>
      </c>
      <c r="GK25">
        <v>0</v>
      </c>
      <c r="GL25">
        <v>0</v>
      </c>
      <c r="GM25">
        <v>0</v>
      </c>
      <c r="GN25">
        <v>2</v>
      </c>
      <c r="GO25">
        <v>0</v>
      </c>
      <c r="GP25">
        <v>2</v>
      </c>
      <c r="GQ25">
        <v>1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1</v>
      </c>
      <c r="GZ25">
        <v>0</v>
      </c>
      <c r="HA25">
        <v>0</v>
      </c>
      <c r="HB25">
        <v>0</v>
      </c>
      <c r="HC25">
        <v>0</v>
      </c>
      <c r="HD25">
        <v>1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1</v>
      </c>
      <c r="HL25">
        <v>0</v>
      </c>
      <c r="HM25">
        <v>0</v>
      </c>
      <c r="HN25">
        <v>0</v>
      </c>
      <c r="HO25">
        <v>0</v>
      </c>
      <c r="HP25">
        <v>2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3</v>
      </c>
      <c r="HW25">
        <v>0</v>
      </c>
      <c r="HX25">
        <v>0</v>
      </c>
      <c r="HY25">
        <v>2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1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3</v>
      </c>
      <c r="IW25">
        <v>0</v>
      </c>
      <c r="IX25">
        <v>0</v>
      </c>
      <c r="IY25">
        <v>1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3</v>
      </c>
      <c r="JG25">
        <v>0</v>
      </c>
      <c r="JH25">
        <v>0</v>
      </c>
      <c r="JI25">
        <v>1</v>
      </c>
      <c r="JJ25">
        <v>0</v>
      </c>
      <c r="JK25">
        <v>0</v>
      </c>
      <c r="JL25">
        <v>0</v>
      </c>
      <c r="JM25">
        <v>0</v>
      </c>
      <c r="JN25">
        <v>1</v>
      </c>
      <c r="JO25">
        <v>0</v>
      </c>
      <c r="JP25">
        <v>1</v>
      </c>
      <c r="JQ25">
        <v>2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3</v>
      </c>
      <c r="KC25">
        <v>0</v>
      </c>
      <c r="KD25">
        <v>0</v>
      </c>
      <c r="KE25">
        <v>0</v>
      </c>
      <c r="KF25">
        <v>1</v>
      </c>
      <c r="KG25">
        <v>0</v>
      </c>
      <c r="KH25">
        <v>1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1</v>
      </c>
      <c r="KR25">
        <v>0</v>
      </c>
      <c r="KS25">
        <v>0</v>
      </c>
      <c r="KT25">
        <v>0</v>
      </c>
      <c r="KU25">
        <v>0</v>
      </c>
      <c r="KV25">
        <v>3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1</v>
      </c>
      <c r="NB25">
        <v>0</v>
      </c>
      <c r="NC25">
        <v>0</v>
      </c>
      <c r="ND25">
        <v>0</v>
      </c>
      <c r="NE25">
        <v>1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1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1</v>
      </c>
      <c r="ON25">
        <v>1</v>
      </c>
      <c r="OO25">
        <v>1</v>
      </c>
      <c r="OP25">
        <v>0</v>
      </c>
      <c r="OQ25">
        <v>0</v>
      </c>
      <c r="OR25">
        <v>0</v>
      </c>
      <c r="OS25">
        <v>0</v>
      </c>
      <c r="OT25">
        <v>2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1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1</v>
      </c>
      <c r="PU25">
        <v>0</v>
      </c>
      <c r="PV25">
        <v>0</v>
      </c>
      <c r="PW25">
        <v>1</v>
      </c>
      <c r="PX25">
        <v>0</v>
      </c>
      <c r="PY25">
        <v>0</v>
      </c>
      <c r="PZ25">
        <v>1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</row>
    <row r="26" spans="1:467" x14ac:dyDescent="0.4">
      <c r="A26" t="str">
        <f>"9784088834221"</f>
        <v>9784088834221</v>
      </c>
      <c r="B26" t="str">
        <f>"4088834224"</f>
        <v>4088834224</v>
      </c>
      <c r="C26" t="s">
        <v>1899</v>
      </c>
      <c r="D26" t="s">
        <v>1900</v>
      </c>
      <c r="E26" t="s">
        <v>536</v>
      </c>
      <c r="F26" t="s">
        <v>1854</v>
      </c>
      <c r="G26" t="str">
        <f>"9979"</f>
        <v>9979</v>
      </c>
      <c r="H26" t="s">
        <v>1855</v>
      </c>
      <c r="I26" t="s">
        <v>1856</v>
      </c>
      <c r="J26" t="s">
        <v>1856</v>
      </c>
      <c r="L26" s="1">
        <v>44930</v>
      </c>
      <c r="M26">
        <v>480</v>
      </c>
      <c r="N26">
        <v>72</v>
      </c>
      <c r="O26">
        <v>34</v>
      </c>
      <c r="P26">
        <v>72</v>
      </c>
      <c r="Q26">
        <v>34</v>
      </c>
      <c r="R26">
        <v>0</v>
      </c>
      <c r="S26">
        <v>1</v>
      </c>
      <c r="T26">
        <v>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7</v>
      </c>
      <c r="BC26">
        <v>0</v>
      </c>
      <c r="BD26">
        <v>0</v>
      </c>
      <c r="BE26">
        <v>1</v>
      </c>
      <c r="BF26">
        <v>0</v>
      </c>
      <c r="BG26">
        <v>0</v>
      </c>
      <c r="BH26">
        <v>0</v>
      </c>
      <c r="BI26">
        <v>1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2</v>
      </c>
      <c r="CI26">
        <v>1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1</v>
      </c>
      <c r="DM26">
        <v>0</v>
      </c>
      <c r="DN26">
        <v>0</v>
      </c>
      <c r="DO26">
        <v>1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1</v>
      </c>
      <c r="EF26">
        <v>0</v>
      </c>
      <c r="EG26">
        <v>0</v>
      </c>
      <c r="EH26">
        <v>1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1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2</v>
      </c>
      <c r="FI26">
        <v>0</v>
      </c>
      <c r="FJ26">
        <v>1</v>
      </c>
      <c r="FK26">
        <v>0</v>
      </c>
      <c r="FL26">
        <v>0</v>
      </c>
      <c r="FM26">
        <v>0</v>
      </c>
      <c r="FN26">
        <v>0</v>
      </c>
      <c r="FO26">
        <v>2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1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2</v>
      </c>
      <c r="HV26">
        <v>3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2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14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1</v>
      </c>
      <c r="JR26">
        <v>3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3</v>
      </c>
      <c r="KC26">
        <v>0</v>
      </c>
      <c r="KD26">
        <v>1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2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1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1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1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2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2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1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</row>
    <row r="27" spans="1:467" x14ac:dyDescent="0.4">
      <c r="A27" t="str">
        <f>"9784065299876"</f>
        <v>9784065299876</v>
      </c>
      <c r="B27" t="str">
        <f>"406529987X"</f>
        <v>406529987X</v>
      </c>
      <c r="C27" t="s">
        <v>1901</v>
      </c>
      <c r="D27" t="s">
        <v>1902</v>
      </c>
      <c r="E27" t="s">
        <v>548</v>
      </c>
      <c r="F27" t="s">
        <v>1862</v>
      </c>
      <c r="G27" t="str">
        <f>"9979"</f>
        <v>9979</v>
      </c>
      <c r="H27" t="s">
        <v>1855</v>
      </c>
      <c r="I27" t="s">
        <v>1856</v>
      </c>
      <c r="J27" t="s">
        <v>1856</v>
      </c>
      <c r="L27" s="1">
        <v>44911</v>
      </c>
      <c r="M27">
        <v>480</v>
      </c>
      <c r="N27">
        <v>70</v>
      </c>
      <c r="O27">
        <v>46</v>
      </c>
      <c r="P27">
        <v>70</v>
      </c>
      <c r="Q27">
        <v>46</v>
      </c>
      <c r="R27">
        <v>0</v>
      </c>
      <c r="S27">
        <v>2</v>
      </c>
      <c r="T27">
        <v>0</v>
      </c>
      <c r="U27">
        <v>0</v>
      </c>
      <c r="V27">
        <v>0</v>
      </c>
      <c r="W27">
        <v>2</v>
      </c>
      <c r="X27">
        <v>0</v>
      </c>
      <c r="Y27">
        <v>2</v>
      </c>
      <c r="Z27">
        <v>0</v>
      </c>
      <c r="AA27">
        <v>1</v>
      </c>
      <c r="AB27">
        <v>0</v>
      </c>
      <c r="AC27">
        <v>0</v>
      </c>
      <c r="AD27">
        <v>2</v>
      </c>
      <c r="AE27">
        <v>1</v>
      </c>
      <c r="AF27">
        <v>0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</v>
      </c>
      <c r="AS27">
        <v>0</v>
      </c>
      <c r="AT27">
        <v>1</v>
      </c>
      <c r="AU27">
        <v>0</v>
      </c>
      <c r="AV27">
        <v>4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5</v>
      </c>
      <c r="BC27">
        <v>0</v>
      </c>
      <c r="BD27">
        <v>0</v>
      </c>
      <c r="BE27">
        <v>0</v>
      </c>
      <c r="BF27">
        <v>0</v>
      </c>
      <c r="BG27">
        <v>2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1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1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1</v>
      </c>
      <c r="DZ27">
        <v>0</v>
      </c>
      <c r="EA27">
        <v>0</v>
      </c>
      <c r="EB27">
        <v>1</v>
      </c>
      <c r="EC27">
        <v>0</v>
      </c>
      <c r="ED27">
        <v>0</v>
      </c>
      <c r="EE27">
        <v>0</v>
      </c>
      <c r="EF27">
        <v>0</v>
      </c>
      <c r="EG27">
        <v>1</v>
      </c>
      <c r="EH27">
        <v>2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1</v>
      </c>
      <c r="FF27">
        <v>0</v>
      </c>
      <c r="FG27">
        <v>0</v>
      </c>
      <c r="FH27">
        <v>1</v>
      </c>
      <c r="FI27">
        <v>0</v>
      </c>
      <c r="FJ27">
        <v>2</v>
      </c>
      <c r="FK27">
        <v>0</v>
      </c>
      <c r="FL27">
        <v>0</v>
      </c>
      <c r="FM27">
        <v>0</v>
      </c>
      <c r="FN27">
        <v>0</v>
      </c>
      <c r="FO27">
        <v>1</v>
      </c>
      <c r="FP27">
        <v>1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</v>
      </c>
      <c r="FZ27">
        <v>0</v>
      </c>
      <c r="GA27">
        <v>1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1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3</v>
      </c>
      <c r="HV27">
        <v>1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1</v>
      </c>
      <c r="IG27">
        <v>1</v>
      </c>
      <c r="IH27">
        <v>0</v>
      </c>
      <c r="II27">
        <v>0</v>
      </c>
      <c r="IJ27">
        <v>0</v>
      </c>
      <c r="IK27">
        <v>0</v>
      </c>
      <c r="IL27">
        <v>1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1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1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1</v>
      </c>
      <c r="JR27">
        <v>1</v>
      </c>
      <c r="JS27">
        <v>0</v>
      </c>
      <c r="JT27">
        <v>0</v>
      </c>
      <c r="JU27">
        <v>0</v>
      </c>
      <c r="JV27">
        <v>0</v>
      </c>
      <c r="JW27">
        <v>1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2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3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2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2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1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1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3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1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</row>
    <row r="28" spans="1:467" x14ac:dyDescent="0.4">
      <c r="A28" t="str">
        <f>"9784088832715"</f>
        <v>9784088832715</v>
      </c>
      <c r="B28" t="str">
        <f>"408883271X"</f>
        <v>408883271X</v>
      </c>
      <c r="C28" t="s">
        <v>1903</v>
      </c>
      <c r="D28" t="s">
        <v>1853</v>
      </c>
      <c r="E28" t="s">
        <v>536</v>
      </c>
      <c r="F28" t="s">
        <v>1854</v>
      </c>
      <c r="G28" t="str">
        <f>"9979"</f>
        <v>9979</v>
      </c>
      <c r="H28" t="s">
        <v>1855</v>
      </c>
      <c r="I28" t="s">
        <v>1856</v>
      </c>
      <c r="J28" t="s">
        <v>1856</v>
      </c>
      <c r="L28" s="1">
        <v>44838</v>
      </c>
      <c r="M28">
        <v>440</v>
      </c>
      <c r="N28">
        <v>69</v>
      </c>
      <c r="O28">
        <v>38</v>
      </c>
      <c r="P28">
        <v>69</v>
      </c>
      <c r="Q28">
        <v>38</v>
      </c>
      <c r="R28">
        <v>0</v>
      </c>
      <c r="S28">
        <v>1</v>
      </c>
      <c r="T28">
        <v>2</v>
      </c>
      <c r="U28">
        <v>0</v>
      </c>
      <c r="V28">
        <v>0</v>
      </c>
      <c r="W28">
        <v>3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0</v>
      </c>
      <c r="AE28">
        <v>2</v>
      </c>
      <c r="AF28">
        <v>0</v>
      </c>
      <c r="AG28">
        <v>0</v>
      </c>
      <c r="AH28">
        <v>0</v>
      </c>
      <c r="AI28">
        <v>1</v>
      </c>
      <c r="AJ28">
        <v>0</v>
      </c>
      <c r="AK28">
        <v>0</v>
      </c>
      <c r="AL28">
        <v>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3</v>
      </c>
      <c r="BC28">
        <v>0</v>
      </c>
      <c r="BD28">
        <v>0</v>
      </c>
      <c r="BE28">
        <v>0</v>
      </c>
      <c r="BF28">
        <v>0</v>
      </c>
      <c r="BG28">
        <v>1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1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2</v>
      </c>
      <c r="CI28">
        <v>1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1</v>
      </c>
      <c r="DK28">
        <v>0</v>
      </c>
      <c r="DL28">
        <v>2</v>
      </c>
      <c r="DM28">
        <v>0</v>
      </c>
      <c r="DN28">
        <v>0</v>
      </c>
      <c r="DO28">
        <v>1</v>
      </c>
      <c r="DP28">
        <v>0</v>
      </c>
      <c r="DQ28">
        <v>0</v>
      </c>
      <c r="DR28">
        <v>0</v>
      </c>
      <c r="DS28">
        <v>0</v>
      </c>
      <c r="DT28">
        <v>1</v>
      </c>
      <c r="DU28">
        <v>0</v>
      </c>
      <c r="DV28">
        <v>0</v>
      </c>
      <c r="DW28">
        <v>0</v>
      </c>
      <c r="DX28">
        <v>0</v>
      </c>
      <c r="DY28">
        <v>3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1</v>
      </c>
      <c r="FB28">
        <v>0</v>
      </c>
      <c r="FC28">
        <v>0</v>
      </c>
      <c r="FD28">
        <v>0</v>
      </c>
      <c r="FE28">
        <v>1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1</v>
      </c>
      <c r="FP28">
        <v>0</v>
      </c>
      <c r="FQ28">
        <v>0</v>
      </c>
      <c r="FR28">
        <v>0</v>
      </c>
      <c r="FS28">
        <v>0</v>
      </c>
      <c r="FT28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1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1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1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1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1</v>
      </c>
      <c r="IW28">
        <v>0</v>
      </c>
      <c r="IX28">
        <v>0</v>
      </c>
      <c r="IY28">
        <v>1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5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2</v>
      </c>
      <c r="JR28">
        <v>6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5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1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3</v>
      </c>
      <c r="NA28">
        <v>0</v>
      </c>
      <c r="NB28">
        <v>0</v>
      </c>
      <c r="NC28">
        <v>0</v>
      </c>
      <c r="ND28">
        <v>0</v>
      </c>
      <c r="NE28">
        <v>3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3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1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</row>
    <row r="29" spans="1:467" x14ac:dyDescent="0.4">
      <c r="A29" t="str">
        <f>"9784065303498"</f>
        <v>9784065303498</v>
      </c>
      <c r="B29" t="str">
        <f>"4065303494"</f>
        <v>4065303494</v>
      </c>
      <c r="C29" t="s">
        <v>1904</v>
      </c>
      <c r="D29" t="s">
        <v>1861</v>
      </c>
      <c r="E29" t="s">
        <v>548</v>
      </c>
      <c r="F29" t="s">
        <v>1862</v>
      </c>
      <c r="G29" t="str">
        <f>"9979"</f>
        <v>9979</v>
      </c>
      <c r="H29" t="s">
        <v>1855</v>
      </c>
      <c r="I29" t="s">
        <v>1856</v>
      </c>
      <c r="J29" t="s">
        <v>1856</v>
      </c>
      <c r="L29" s="1">
        <v>44943</v>
      </c>
      <c r="M29">
        <v>480</v>
      </c>
      <c r="N29">
        <v>67</v>
      </c>
      <c r="O29">
        <v>46</v>
      </c>
      <c r="P29">
        <v>67</v>
      </c>
      <c r="Q29">
        <v>46</v>
      </c>
      <c r="R29">
        <v>0</v>
      </c>
      <c r="S29">
        <v>0</v>
      </c>
      <c r="T29">
        <v>0</v>
      </c>
      <c r="U29">
        <v>0</v>
      </c>
      <c r="V29">
        <v>0</v>
      </c>
      <c r="W29">
        <v>2</v>
      </c>
      <c r="X29">
        <v>0</v>
      </c>
      <c r="Y29">
        <v>2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0</v>
      </c>
      <c r="BJ29">
        <v>0</v>
      </c>
      <c r="BK29">
        <v>0</v>
      </c>
      <c r="BL29">
        <v>0</v>
      </c>
      <c r="BM29">
        <v>1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1</v>
      </c>
      <c r="CB29">
        <v>0</v>
      </c>
      <c r="CC29">
        <v>1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1</v>
      </c>
      <c r="DU29">
        <v>0</v>
      </c>
      <c r="DV29">
        <v>0</v>
      </c>
      <c r="DW29">
        <v>1</v>
      </c>
      <c r="DX29">
        <v>0</v>
      </c>
      <c r="DY29">
        <v>0</v>
      </c>
      <c r="DZ29">
        <v>0</v>
      </c>
      <c r="EA29">
        <v>1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1</v>
      </c>
      <c r="EU29">
        <v>0</v>
      </c>
      <c r="EV29">
        <v>1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1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2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2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1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1</v>
      </c>
      <c r="HN29">
        <v>0</v>
      </c>
      <c r="HO29">
        <v>0</v>
      </c>
      <c r="HP29">
        <v>1</v>
      </c>
      <c r="HQ29">
        <v>0</v>
      </c>
      <c r="HR29">
        <v>0</v>
      </c>
      <c r="HS29">
        <v>0</v>
      </c>
      <c r="HT29">
        <v>0</v>
      </c>
      <c r="HU29">
        <v>1</v>
      </c>
      <c r="HV29">
        <v>0</v>
      </c>
      <c r="HW29">
        <v>0</v>
      </c>
      <c r="HX29">
        <v>0</v>
      </c>
      <c r="HY29">
        <v>1</v>
      </c>
      <c r="HZ29">
        <v>0</v>
      </c>
      <c r="IA29">
        <v>0</v>
      </c>
      <c r="IB29">
        <v>0</v>
      </c>
      <c r="IC29">
        <v>0</v>
      </c>
      <c r="ID29">
        <v>1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3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3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2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1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2</v>
      </c>
      <c r="JQ29">
        <v>3</v>
      </c>
      <c r="JR29">
        <v>1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5</v>
      </c>
      <c r="KC29">
        <v>0</v>
      </c>
      <c r="KD29">
        <v>0</v>
      </c>
      <c r="KE29">
        <v>0</v>
      </c>
      <c r="KF29">
        <v>0</v>
      </c>
      <c r="KG29">
        <v>1</v>
      </c>
      <c r="KH29">
        <v>0</v>
      </c>
      <c r="KI29">
        <v>0</v>
      </c>
      <c r="KJ29">
        <v>0</v>
      </c>
      <c r="KK29">
        <v>1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2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1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1</v>
      </c>
      <c r="ON29">
        <v>0</v>
      </c>
      <c r="OO29">
        <v>2</v>
      </c>
      <c r="OP29">
        <v>0</v>
      </c>
      <c r="OQ29">
        <v>0</v>
      </c>
      <c r="OR29">
        <v>0</v>
      </c>
      <c r="OS29">
        <v>0</v>
      </c>
      <c r="OT29">
        <v>1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1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1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1</v>
      </c>
      <c r="QP29">
        <v>0</v>
      </c>
      <c r="QQ29">
        <v>0</v>
      </c>
      <c r="QR29">
        <v>0</v>
      </c>
      <c r="QS29">
        <v>0</v>
      </c>
      <c r="QT29">
        <v>1</v>
      </c>
      <c r="QU29">
        <v>0</v>
      </c>
      <c r="QV29">
        <v>0</v>
      </c>
      <c r="QW29">
        <v>0</v>
      </c>
      <c r="QX29">
        <v>0</v>
      </c>
      <c r="QY29">
        <v>0</v>
      </c>
    </row>
    <row r="30" spans="1:467" x14ac:dyDescent="0.4">
      <c r="A30" t="str">
        <f>"9784041128640"</f>
        <v>9784041128640</v>
      </c>
      <c r="B30" t="str">
        <f>"4041128641"</f>
        <v>4041128641</v>
      </c>
      <c r="C30" t="s">
        <v>1905</v>
      </c>
      <c r="D30" t="s">
        <v>1906</v>
      </c>
      <c r="E30" t="s">
        <v>597</v>
      </c>
      <c r="F30" t="s">
        <v>1907</v>
      </c>
      <c r="G30" t="str">
        <f>"0979"</f>
        <v>0979</v>
      </c>
      <c r="H30" t="s">
        <v>481</v>
      </c>
      <c r="I30" t="s">
        <v>1856</v>
      </c>
      <c r="J30" t="s">
        <v>1856</v>
      </c>
      <c r="L30" s="1">
        <v>44922</v>
      </c>
      <c r="M30">
        <v>640</v>
      </c>
      <c r="N30">
        <v>67</v>
      </c>
      <c r="O30">
        <v>40</v>
      </c>
      <c r="P30">
        <v>67</v>
      </c>
      <c r="Q30">
        <v>40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8</v>
      </c>
      <c r="BC30">
        <v>0</v>
      </c>
      <c r="BD30">
        <v>0</v>
      </c>
      <c r="BE30">
        <v>0</v>
      </c>
      <c r="BF30">
        <v>0</v>
      </c>
      <c r="BG30">
        <v>2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1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3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2</v>
      </c>
      <c r="FP30">
        <v>1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2</v>
      </c>
      <c r="GO30">
        <v>0</v>
      </c>
      <c r="GP30">
        <v>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1</v>
      </c>
      <c r="HM30">
        <v>0</v>
      </c>
      <c r="HN30">
        <v>0</v>
      </c>
      <c r="HO30">
        <v>0</v>
      </c>
      <c r="HP30">
        <v>2</v>
      </c>
      <c r="HQ30">
        <v>0</v>
      </c>
      <c r="HR30">
        <v>0</v>
      </c>
      <c r="HS30">
        <v>0</v>
      </c>
      <c r="HT30">
        <v>0</v>
      </c>
      <c r="HU30">
        <v>2</v>
      </c>
      <c r="HV30">
        <v>2</v>
      </c>
      <c r="HW30">
        <v>0</v>
      </c>
      <c r="HX30">
        <v>0</v>
      </c>
      <c r="HY30">
        <v>1</v>
      </c>
      <c r="HZ30">
        <v>0</v>
      </c>
      <c r="IA30">
        <v>0</v>
      </c>
      <c r="IB30">
        <v>1</v>
      </c>
      <c r="IC30">
        <v>0</v>
      </c>
      <c r="ID30">
        <v>0</v>
      </c>
      <c r="IE30">
        <v>0</v>
      </c>
      <c r="IF30">
        <v>1</v>
      </c>
      <c r="IG30">
        <v>0</v>
      </c>
      <c r="IH30">
        <v>1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1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2</v>
      </c>
      <c r="IW30">
        <v>0</v>
      </c>
      <c r="IX30">
        <v>0</v>
      </c>
      <c r="IY30">
        <v>1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9</v>
      </c>
      <c r="JG30">
        <v>0</v>
      </c>
      <c r="JH30">
        <v>0</v>
      </c>
      <c r="JI30">
        <v>0</v>
      </c>
      <c r="JJ30">
        <v>1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1</v>
      </c>
      <c r="JR30">
        <v>2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1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1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2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1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1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1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1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2</v>
      </c>
      <c r="NF30">
        <v>1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1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1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1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1</v>
      </c>
      <c r="QY30">
        <v>0</v>
      </c>
    </row>
    <row r="31" spans="1:467" x14ac:dyDescent="0.4">
      <c r="A31" t="str">
        <f>"9784087926026"</f>
        <v>9784087926026</v>
      </c>
      <c r="B31" t="str">
        <f>"4087926028"</f>
        <v>4087926028</v>
      </c>
      <c r="C31" t="s">
        <v>1908</v>
      </c>
      <c r="D31" t="s">
        <v>1909</v>
      </c>
      <c r="E31" t="s">
        <v>536</v>
      </c>
      <c r="F31" t="s">
        <v>1910</v>
      </c>
      <c r="G31" t="str">
        <f>"0979"</f>
        <v>0979</v>
      </c>
      <c r="H31" t="s">
        <v>481</v>
      </c>
      <c r="I31" t="s">
        <v>1856</v>
      </c>
      <c r="J31" t="s">
        <v>1856</v>
      </c>
      <c r="L31" s="1">
        <v>44908</v>
      </c>
      <c r="M31">
        <v>1800</v>
      </c>
      <c r="N31">
        <v>64</v>
      </c>
      <c r="O31">
        <v>44</v>
      </c>
      <c r="P31">
        <v>64</v>
      </c>
      <c r="Q31">
        <v>44</v>
      </c>
      <c r="R31">
        <v>0</v>
      </c>
      <c r="S31">
        <v>0</v>
      </c>
      <c r="T31">
        <v>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2</v>
      </c>
      <c r="BM31">
        <v>0</v>
      </c>
      <c r="BN31">
        <v>0</v>
      </c>
      <c r="BO31">
        <v>0</v>
      </c>
      <c r="BP31">
        <v>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1</v>
      </c>
      <c r="CI31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1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2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1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1</v>
      </c>
      <c r="EC31">
        <v>1</v>
      </c>
      <c r="ED31">
        <v>0</v>
      </c>
      <c r="EE31">
        <v>1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1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1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1</v>
      </c>
      <c r="FZ31">
        <v>0</v>
      </c>
      <c r="GA31">
        <v>0</v>
      </c>
      <c r="GB31">
        <v>0</v>
      </c>
      <c r="GC31">
        <v>1</v>
      </c>
      <c r="GD31">
        <v>1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1</v>
      </c>
      <c r="GO31">
        <v>0</v>
      </c>
      <c r="GP31">
        <v>0</v>
      </c>
      <c r="GQ31">
        <v>1</v>
      </c>
      <c r="GR31">
        <v>2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2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2</v>
      </c>
      <c r="HW31">
        <v>1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1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1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1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3</v>
      </c>
      <c r="JG31">
        <v>2</v>
      </c>
      <c r="JH31">
        <v>1</v>
      </c>
      <c r="JI31">
        <v>1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4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1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1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2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1</v>
      </c>
      <c r="NB31">
        <v>0</v>
      </c>
      <c r="NC31">
        <v>0</v>
      </c>
      <c r="ND31">
        <v>0</v>
      </c>
      <c r="NE31">
        <v>2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1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2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2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1</v>
      </c>
      <c r="PH31">
        <v>0</v>
      </c>
      <c r="PI31">
        <v>0</v>
      </c>
      <c r="PJ31">
        <v>1</v>
      </c>
      <c r="PK31">
        <v>0</v>
      </c>
      <c r="PL31">
        <v>0</v>
      </c>
      <c r="PM31">
        <v>1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4</v>
      </c>
      <c r="QR31">
        <v>0</v>
      </c>
      <c r="QS31">
        <v>0</v>
      </c>
      <c r="QT31">
        <v>1</v>
      </c>
      <c r="QU31">
        <v>0</v>
      </c>
      <c r="QV31">
        <v>0</v>
      </c>
      <c r="QW31">
        <v>0</v>
      </c>
      <c r="QX31">
        <v>0</v>
      </c>
      <c r="QY31">
        <v>0</v>
      </c>
    </row>
    <row r="32" spans="1:467" hidden="1" x14ac:dyDescent="0.4">
      <c r="A32" t="str">
        <f>"9784860115388"</f>
        <v>9784860115388</v>
      </c>
      <c r="B32" t="str">
        <f>"4860115384"</f>
        <v>4860115384</v>
      </c>
      <c r="C32" t="s">
        <v>1911</v>
      </c>
      <c r="D32" t="s">
        <v>1912</v>
      </c>
      <c r="E32" t="s">
        <v>1913</v>
      </c>
      <c r="G32" t="str">
        <f>"0395"</f>
        <v>0395</v>
      </c>
      <c r="H32" t="s">
        <v>481</v>
      </c>
      <c r="I32" t="s">
        <v>1877</v>
      </c>
      <c r="J32" t="s">
        <v>509</v>
      </c>
      <c r="L32" s="1">
        <v>44939</v>
      </c>
      <c r="M32">
        <v>700</v>
      </c>
      <c r="N32">
        <v>62</v>
      </c>
      <c r="O32">
        <v>45</v>
      </c>
      <c r="P32">
        <v>62</v>
      </c>
      <c r="Q32">
        <v>45</v>
      </c>
      <c r="R32">
        <v>0</v>
      </c>
      <c r="S32">
        <v>0</v>
      </c>
      <c r="T32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</v>
      </c>
      <c r="AL32">
        <v>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4</v>
      </c>
      <c r="CI32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4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2</v>
      </c>
      <c r="DC32">
        <v>1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1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1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1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2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1</v>
      </c>
      <c r="HQ32">
        <v>0</v>
      </c>
      <c r="HR32">
        <v>0</v>
      </c>
      <c r="HS32">
        <v>0</v>
      </c>
      <c r="HT32">
        <v>0</v>
      </c>
      <c r="HU32">
        <v>1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1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1</v>
      </c>
      <c r="IK32">
        <v>0</v>
      </c>
      <c r="IL32">
        <v>0</v>
      </c>
      <c r="IM32">
        <v>0</v>
      </c>
      <c r="IN32">
        <v>2</v>
      </c>
      <c r="IO32">
        <v>0</v>
      </c>
      <c r="IP32">
        <v>0</v>
      </c>
      <c r="IQ32">
        <v>0</v>
      </c>
      <c r="IR32">
        <v>1</v>
      </c>
      <c r="IS32">
        <v>0</v>
      </c>
      <c r="IT32">
        <v>2</v>
      </c>
      <c r="IU32">
        <v>0</v>
      </c>
      <c r="IV32">
        <v>0</v>
      </c>
      <c r="IW32">
        <v>0</v>
      </c>
      <c r="IX32">
        <v>1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5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2</v>
      </c>
      <c r="JN32">
        <v>1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1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1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1</v>
      </c>
      <c r="LQ32">
        <v>0</v>
      </c>
      <c r="LR32">
        <v>0</v>
      </c>
      <c r="LS32">
        <v>1</v>
      </c>
      <c r="LT32">
        <v>0</v>
      </c>
      <c r="LU32">
        <v>0</v>
      </c>
      <c r="LV32">
        <v>1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3</v>
      </c>
      <c r="NF32">
        <v>0</v>
      </c>
      <c r="NG32">
        <v>0</v>
      </c>
      <c r="NH32">
        <v>0</v>
      </c>
      <c r="NI32">
        <v>0</v>
      </c>
      <c r="NJ32">
        <v>1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1</v>
      </c>
      <c r="NZ32">
        <v>0</v>
      </c>
      <c r="OA32">
        <v>0</v>
      </c>
      <c r="OB32">
        <v>1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1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1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1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1</v>
      </c>
      <c r="PR32">
        <v>0</v>
      </c>
      <c r="PS32">
        <v>0</v>
      </c>
      <c r="PT32">
        <v>1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1</v>
      </c>
      <c r="QP32">
        <v>0</v>
      </c>
      <c r="QQ32">
        <v>0</v>
      </c>
      <c r="QR32">
        <v>0</v>
      </c>
      <c r="QS32">
        <v>1</v>
      </c>
      <c r="QT32">
        <v>1</v>
      </c>
      <c r="QU32">
        <v>0</v>
      </c>
      <c r="QV32">
        <v>0</v>
      </c>
      <c r="QW32">
        <v>0</v>
      </c>
      <c r="QX32">
        <v>0</v>
      </c>
      <c r="QY32">
        <v>1</v>
      </c>
    </row>
    <row r="33" spans="1:467" hidden="1" x14ac:dyDescent="0.4">
      <c r="A33" t="str">
        <f>"9784118924724"</f>
        <v>9784118924724</v>
      </c>
      <c r="B33" t="str">
        <f>"4118924722"</f>
        <v>4118924722</v>
      </c>
      <c r="C33" t="s">
        <v>1914</v>
      </c>
      <c r="D33" t="s">
        <v>1915</v>
      </c>
      <c r="E33" t="s">
        <v>1916</v>
      </c>
      <c r="F33" t="s">
        <v>1917</v>
      </c>
      <c r="G33" t="str">
        <f>"3073"</f>
        <v>3073</v>
      </c>
      <c r="H33" t="s">
        <v>761</v>
      </c>
      <c r="I33" t="s">
        <v>1893</v>
      </c>
      <c r="J33" t="s">
        <v>794</v>
      </c>
      <c r="L33" s="1">
        <v>43191</v>
      </c>
      <c r="M33">
        <v>1000</v>
      </c>
      <c r="N33">
        <v>62</v>
      </c>
      <c r="O33">
        <v>1</v>
      </c>
      <c r="P33">
        <v>62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62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</row>
    <row r="34" spans="1:467" hidden="1" x14ac:dyDescent="0.4">
      <c r="A34" t="str">
        <f>"9784065296837"</f>
        <v>9784065296837</v>
      </c>
      <c r="B34" t="str">
        <f>"4065296838"</f>
        <v>4065296838</v>
      </c>
      <c r="C34" t="s">
        <v>1918</v>
      </c>
      <c r="D34" t="s">
        <v>1919</v>
      </c>
      <c r="E34" t="s">
        <v>548</v>
      </c>
      <c r="G34" t="str">
        <f>"0093"</f>
        <v>0093</v>
      </c>
      <c r="H34" t="s">
        <v>481</v>
      </c>
      <c r="I34" t="s">
        <v>1893</v>
      </c>
      <c r="J34" t="s">
        <v>488</v>
      </c>
      <c r="L34" s="1">
        <v>44876</v>
      </c>
      <c r="M34">
        <v>1500</v>
      </c>
      <c r="N34">
        <v>61</v>
      </c>
      <c r="O34">
        <v>24</v>
      </c>
      <c r="P34">
        <v>61</v>
      </c>
      <c r="Q34">
        <v>24</v>
      </c>
      <c r="R34">
        <v>0</v>
      </c>
      <c r="S34">
        <v>0</v>
      </c>
      <c r="T3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1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1</v>
      </c>
      <c r="CI34">
        <v>3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2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2</v>
      </c>
      <c r="DC34">
        <v>1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1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1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1</v>
      </c>
      <c r="GX34">
        <v>1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1</v>
      </c>
      <c r="HV34">
        <v>1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1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4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1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1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1</v>
      </c>
      <c r="ND34">
        <v>0</v>
      </c>
      <c r="NE34">
        <v>31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0</v>
      </c>
      <c r="OS34">
        <v>0</v>
      </c>
      <c r="OT34">
        <v>1</v>
      </c>
      <c r="OU34">
        <v>0</v>
      </c>
      <c r="OV34">
        <v>0</v>
      </c>
      <c r="OW34">
        <v>1</v>
      </c>
      <c r="OX34">
        <v>0</v>
      </c>
      <c r="OY34">
        <v>0</v>
      </c>
      <c r="OZ34">
        <v>0</v>
      </c>
      <c r="PA34">
        <v>0</v>
      </c>
      <c r="PB34">
        <v>1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1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</row>
    <row r="35" spans="1:467" hidden="1" x14ac:dyDescent="0.4">
      <c r="A35" t="str">
        <f>"9784811378916"</f>
        <v>9784811378916</v>
      </c>
      <c r="B35" t="str">
        <f>"4811378911"</f>
        <v>4811378911</v>
      </c>
      <c r="C35" t="s">
        <v>1920</v>
      </c>
      <c r="D35" t="s">
        <v>1921</v>
      </c>
      <c r="E35" t="s">
        <v>1922</v>
      </c>
      <c r="G35" t="str">
        <f>"8793"</f>
        <v>8793</v>
      </c>
      <c r="H35" t="s">
        <v>1923</v>
      </c>
      <c r="I35" t="s">
        <v>1924</v>
      </c>
      <c r="J35" t="s">
        <v>488</v>
      </c>
      <c r="L35" s="1">
        <v>38443</v>
      </c>
      <c r="M35">
        <v>1400</v>
      </c>
      <c r="N35">
        <v>60</v>
      </c>
      <c r="O35">
        <v>1</v>
      </c>
      <c r="P35">
        <v>60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60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0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</row>
    <row r="36" spans="1:467" hidden="1" x14ac:dyDescent="0.4">
      <c r="A36" t="str">
        <f>"9784052042928"</f>
        <v>9784052042928</v>
      </c>
      <c r="B36" t="str">
        <f>"4052042921"</f>
        <v>4052042921</v>
      </c>
      <c r="C36" t="s">
        <v>1925</v>
      </c>
      <c r="D36" t="s">
        <v>1926</v>
      </c>
      <c r="E36" t="s">
        <v>1927</v>
      </c>
      <c r="F36" t="s">
        <v>1928</v>
      </c>
      <c r="G36" t="str">
        <f>"8397"</f>
        <v>8397</v>
      </c>
      <c r="H36" t="s">
        <v>1923</v>
      </c>
      <c r="I36" t="s">
        <v>1877</v>
      </c>
      <c r="J36" t="s">
        <v>564</v>
      </c>
      <c r="L36" s="1">
        <v>42285</v>
      </c>
      <c r="M36">
        <v>880</v>
      </c>
      <c r="N36">
        <v>60</v>
      </c>
      <c r="O36">
        <v>1</v>
      </c>
      <c r="P36">
        <v>60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60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</row>
    <row r="37" spans="1:467" hidden="1" x14ac:dyDescent="0.4">
      <c r="A37" t="str">
        <f>"9784140819111"</f>
        <v>9784140819111</v>
      </c>
      <c r="B37" t="str">
        <f>"4140819111"</f>
        <v>4140819111</v>
      </c>
      <c r="C37" t="s">
        <v>1929</v>
      </c>
      <c r="D37" t="s">
        <v>1930</v>
      </c>
      <c r="E37" t="s">
        <v>480</v>
      </c>
      <c r="G37" t="str">
        <f>"0098"</f>
        <v>0098</v>
      </c>
      <c r="H37" t="s">
        <v>481</v>
      </c>
      <c r="I37" t="s">
        <v>1893</v>
      </c>
      <c r="J37" t="s">
        <v>1894</v>
      </c>
      <c r="L37" s="1">
        <v>44831</v>
      </c>
      <c r="M37">
        <v>2300</v>
      </c>
      <c r="N37">
        <v>59</v>
      </c>
      <c r="O37">
        <v>35</v>
      </c>
      <c r="P37">
        <v>59</v>
      </c>
      <c r="Q37">
        <v>35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4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1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2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1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1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2</v>
      </c>
      <c r="GJ37">
        <v>0</v>
      </c>
      <c r="GK37">
        <v>0</v>
      </c>
      <c r="GL37">
        <v>0</v>
      </c>
      <c r="GM37">
        <v>0</v>
      </c>
      <c r="GN37">
        <v>1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1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1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1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1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1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1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1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1</v>
      </c>
      <c r="LG37">
        <v>0</v>
      </c>
      <c r="LH37">
        <v>1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1</v>
      </c>
      <c r="LQ37">
        <v>0</v>
      </c>
      <c r="LR37">
        <v>1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1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1</v>
      </c>
      <c r="MM37">
        <v>0</v>
      </c>
      <c r="MN37">
        <v>1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2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3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1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1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2</v>
      </c>
      <c r="OL37">
        <v>1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1</v>
      </c>
      <c r="PA37">
        <v>1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16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1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</row>
    <row r="38" spans="1:467" x14ac:dyDescent="0.4">
      <c r="A38" t="str">
        <f>"9784065299388"</f>
        <v>9784065299388</v>
      </c>
      <c r="B38" t="str">
        <f>"4065299381"</f>
        <v>4065299381</v>
      </c>
      <c r="C38" t="s">
        <v>1931</v>
      </c>
      <c r="D38" t="s">
        <v>1932</v>
      </c>
      <c r="E38" t="s">
        <v>548</v>
      </c>
      <c r="F38" t="s">
        <v>1862</v>
      </c>
      <c r="G38" t="str">
        <f>"9979"</f>
        <v>9979</v>
      </c>
      <c r="H38" t="s">
        <v>1855</v>
      </c>
      <c r="I38" t="s">
        <v>1856</v>
      </c>
      <c r="J38" t="s">
        <v>1856</v>
      </c>
      <c r="L38" s="1">
        <v>44943</v>
      </c>
      <c r="M38">
        <v>480</v>
      </c>
      <c r="N38">
        <v>58</v>
      </c>
      <c r="O38">
        <v>31</v>
      </c>
      <c r="P38">
        <v>58</v>
      </c>
      <c r="Q38">
        <v>31</v>
      </c>
      <c r="R38">
        <v>0</v>
      </c>
      <c r="S38">
        <v>1</v>
      </c>
      <c r="T38">
        <v>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</v>
      </c>
      <c r="AB38">
        <v>0</v>
      </c>
      <c r="AC38">
        <v>0</v>
      </c>
      <c r="AD38">
        <v>2</v>
      </c>
      <c r="AE38">
        <v>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6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</v>
      </c>
      <c r="BC38">
        <v>1</v>
      </c>
      <c r="BD38">
        <v>0</v>
      </c>
      <c r="BE38">
        <v>0</v>
      </c>
      <c r="BF38">
        <v>0</v>
      </c>
      <c r="BG38">
        <v>2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1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2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1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1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2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3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2</v>
      </c>
      <c r="HL38">
        <v>0</v>
      </c>
      <c r="HM38">
        <v>1</v>
      </c>
      <c r="HN38">
        <v>1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3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2</v>
      </c>
      <c r="IU38">
        <v>0</v>
      </c>
      <c r="IV38">
        <v>0</v>
      </c>
      <c r="IW38">
        <v>0</v>
      </c>
      <c r="IX38">
        <v>0</v>
      </c>
      <c r="IY38">
        <v>2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1</v>
      </c>
      <c r="JG38">
        <v>1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2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8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2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1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1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2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1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1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</row>
    <row r="39" spans="1:467" x14ac:dyDescent="0.4">
      <c r="A39" t="str">
        <f>"9784088833705"</f>
        <v>9784088833705</v>
      </c>
      <c r="B39" t="str">
        <f>"4088833708"</f>
        <v>4088833708</v>
      </c>
      <c r="C39" t="s">
        <v>1933</v>
      </c>
      <c r="D39" t="s">
        <v>1934</v>
      </c>
      <c r="E39" t="s">
        <v>536</v>
      </c>
      <c r="F39" t="s">
        <v>1935</v>
      </c>
      <c r="G39" t="str">
        <f>"9979"</f>
        <v>9979</v>
      </c>
      <c r="H39" t="s">
        <v>1855</v>
      </c>
      <c r="I39" t="s">
        <v>1856</v>
      </c>
      <c r="J39" t="s">
        <v>1856</v>
      </c>
      <c r="L39" s="1">
        <v>44930</v>
      </c>
      <c r="M39">
        <v>520</v>
      </c>
      <c r="N39">
        <v>57</v>
      </c>
      <c r="O39">
        <v>36</v>
      </c>
      <c r="P39">
        <v>57</v>
      </c>
      <c r="Q39">
        <v>36</v>
      </c>
      <c r="R39">
        <v>0</v>
      </c>
      <c r="S39">
        <v>0</v>
      </c>
      <c r="T39">
        <v>0</v>
      </c>
      <c r="U39">
        <v>0</v>
      </c>
      <c r="V39">
        <v>0</v>
      </c>
      <c r="W39">
        <v>2</v>
      </c>
      <c r="X39">
        <v>0</v>
      </c>
      <c r="Y39">
        <v>0</v>
      </c>
      <c r="Z39">
        <v>0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2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0</v>
      </c>
      <c r="BL39">
        <v>0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1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1</v>
      </c>
      <c r="FK39">
        <v>0</v>
      </c>
      <c r="FL39">
        <v>0</v>
      </c>
      <c r="FM39">
        <v>0</v>
      </c>
      <c r="FN39">
        <v>0</v>
      </c>
      <c r="FO39">
        <v>1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1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1</v>
      </c>
      <c r="GN39">
        <v>0</v>
      </c>
      <c r="GO39">
        <v>1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2</v>
      </c>
      <c r="HI39">
        <v>0</v>
      </c>
      <c r="HJ39">
        <v>0</v>
      </c>
      <c r="HK39">
        <v>1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4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2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1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1</v>
      </c>
      <c r="IW39">
        <v>0</v>
      </c>
      <c r="IX39">
        <v>0</v>
      </c>
      <c r="IY39">
        <v>1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3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1</v>
      </c>
      <c r="JR39">
        <v>1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6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1</v>
      </c>
      <c r="KR39">
        <v>0</v>
      </c>
      <c r="KS39">
        <v>0</v>
      </c>
      <c r="KT39">
        <v>0</v>
      </c>
      <c r="KU39">
        <v>0</v>
      </c>
      <c r="KV39">
        <v>1</v>
      </c>
      <c r="KW39">
        <v>1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2</v>
      </c>
      <c r="NA39">
        <v>0</v>
      </c>
      <c r="NB39">
        <v>0</v>
      </c>
      <c r="NC39">
        <v>0</v>
      </c>
      <c r="ND39">
        <v>0</v>
      </c>
      <c r="NE39">
        <v>2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1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1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1</v>
      </c>
      <c r="PR39">
        <v>0</v>
      </c>
      <c r="PS39">
        <v>0</v>
      </c>
      <c r="PT39">
        <v>1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1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</row>
    <row r="40" spans="1:467" hidden="1" x14ac:dyDescent="0.4">
      <c r="A40" t="str">
        <f>"9784653046400"</f>
        <v>9784653046400</v>
      </c>
      <c r="B40" t="str">
        <f>"4653046409"</f>
        <v>4653046409</v>
      </c>
      <c r="C40" t="s">
        <v>1936</v>
      </c>
      <c r="D40" t="s">
        <v>1937</v>
      </c>
      <c r="E40" t="s">
        <v>1938</v>
      </c>
      <c r="G40" t="str">
        <f>"3091"</f>
        <v>3091</v>
      </c>
      <c r="H40" t="s">
        <v>761</v>
      </c>
      <c r="I40" t="s">
        <v>1893</v>
      </c>
      <c r="J40" t="s">
        <v>558</v>
      </c>
      <c r="L40" s="1">
        <v>44896</v>
      </c>
      <c r="M40">
        <v>1000</v>
      </c>
      <c r="N40">
        <v>57</v>
      </c>
      <c r="O40">
        <v>40</v>
      </c>
      <c r="P40">
        <v>57</v>
      </c>
      <c r="Q40">
        <v>40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1</v>
      </c>
      <c r="BC40">
        <v>0</v>
      </c>
      <c r="BD40">
        <v>0</v>
      </c>
      <c r="BE40">
        <v>1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2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3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3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2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1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2</v>
      </c>
      <c r="FE40">
        <v>2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1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1</v>
      </c>
      <c r="GZ40">
        <v>0</v>
      </c>
      <c r="HA40">
        <v>0</v>
      </c>
      <c r="HB40">
        <v>0</v>
      </c>
      <c r="HC40">
        <v>1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1</v>
      </c>
      <c r="HQ40">
        <v>0</v>
      </c>
      <c r="HR40">
        <v>0</v>
      </c>
      <c r="HS40">
        <v>0</v>
      </c>
      <c r="HT40">
        <v>0</v>
      </c>
      <c r="HU40">
        <v>1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3</v>
      </c>
      <c r="IE40">
        <v>0</v>
      </c>
      <c r="IF40">
        <v>1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2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3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1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1</v>
      </c>
      <c r="LQ40">
        <v>0</v>
      </c>
      <c r="LR40">
        <v>1</v>
      </c>
      <c r="LS40">
        <v>2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1</v>
      </c>
      <c r="NC40">
        <v>1</v>
      </c>
      <c r="ND40">
        <v>0</v>
      </c>
      <c r="NE40">
        <v>1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1</v>
      </c>
      <c r="NQ40">
        <v>0</v>
      </c>
      <c r="NR40">
        <v>2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1</v>
      </c>
      <c r="NZ40">
        <v>0</v>
      </c>
      <c r="OA40">
        <v>0</v>
      </c>
      <c r="OB40">
        <v>1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2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1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1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2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1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1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1</v>
      </c>
      <c r="QX40">
        <v>0</v>
      </c>
      <c r="QY40">
        <v>0</v>
      </c>
    </row>
    <row r="41" spans="1:467" x14ac:dyDescent="0.4">
      <c r="A41" t="str">
        <f>"9784592223207"</f>
        <v>9784592223207</v>
      </c>
      <c r="B41" t="str">
        <f>"4592223209"</f>
        <v>4592223209</v>
      </c>
      <c r="C41" t="s">
        <v>1939</v>
      </c>
      <c r="D41" t="s">
        <v>1940</v>
      </c>
      <c r="E41" t="s">
        <v>1897</v>
      </c>
      <c r="F41" t="s">
        <v>1941</v>
      </c>
      <c r="G41" t="str">
        <f>"9979"</f>
        <v>9979</v>
      </c>
      <c r="H41" t="s">
        <v>1855</v>
      </c>
      <c r="I41" t="s">
        <v>1856</v>
      </c>
      <c r="J41" t="s">
        <v>1856</v>
      </c>
      <c r="L41" s="1">
        <v>44946</v>
      </c>
      <c r="M41">
        <v>480</v>
      </c>
      <c r="N41">
        <v>54</v>
      </c>
      <c r="O41">
        <v>33</v>
      </c>
      <c r="P41">
        <v>54</v>
      </c>
      <c r="Q41">
        <v>33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0</v>
      </c>
      <c r="AH41">
        <v>0</v>
      </c>
      <c r="AI41">
        <v>2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1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2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2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2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1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1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2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6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1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1</v>
      </c>
      <c r="HV41">
        <v>1</v>
      </c>
      <c r="HW41">
        <v>0</v>
      </c>
      <c r="HX41">
        <v>0</v>
      </c>
      <c r="HY41">
        <v>1</v>
      </c>
      <c r="HZ41">
        <v>0</v>
      </c>
      <c r="IA41">
        <v>0</v>
      </c>
      <c r="IB41">
        <v>0</v>
      </c>
      <c r="IC41">
        <v>0</v>
      </c>
      <c r="ID41">
        <v>3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1</v>
      </c>
      <c r="IK41">
        <v>0</v>
      </c>
      <c r="IL41">
        <v>0</v>
      </c>
      <c r="IM41">
        <v>0</v>
      </c>
      <c r="IN41">
        <v>2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1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2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1</v>
      </c>
      <c r="JQ41">
        <v>1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1</v>
      </c>
      <c r="KC41">
        <v>0</v>
      </c>
      <c r="KD41">
        <v>0</v>
      </c>
      <c r="KE41">
        <v>0</v>
      </c>
      <c r="KF41">
        <v>0</v>
      </c>
      <c r="KG41">
        <v>1</v>
      </c>
      <c r="KH41">
        <v>0</v>
      </c>
      <c r="KI41">
        <v>0</v>
      </c>
      <c r="KJ41">
        <v>0</v>
      </c>
      <c r="KK41">
        <v>2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1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1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2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1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2</v>
      </c>
      <c r="PI41">
        <v>0</v>
      </c>
      <c r="PJ41">
        <v>0</v>
      </c>
      <c r="PK41">
        <v>0</v>
      </c>
      <c r="PL41">
        <v>1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1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</row>
    <row r="42" spans="1:467" hidden="1" x14ac:dyDescent="0.4">
      <c r="A42" t="str">
        <f>"9784791704279"</f>
        <v>9784791704279</v>
      </c>
      <c r="B42" t="str">
        <f>"4791704274"</f>
        <v>4791704274</v>
      </c>
      <c r="C42" t="s">
        <v>1942</v>
      </c>
      <c r="E42" t="s">
        <v>1883</v>
      </c>
      <c r="G42" t="str">
        <f>"9490"</f>
        <v>9490</v>
      </c>
      <c r="H42" t="s">
        <v>1855</v>
      </c>
      <c r="I42" t="s">
        <v>1884</v>
      </c>
      <c r="J42" t="s">
        <v>1885</v>
      </c>
      <c r="L42" s="1">
        <v>44953</v>
      </c>
      <c r="M42">
        <v>1600</v>
      </c>
      <c r="N42">
        <v>52</v>
      </c>
      <c r="O42">
        <v>42</v>
      </c>
      <c r="P42">
        <v>52</v>
      </c>
      <c r="Q42">
        <v>42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1</v>
      </c>
      <c r="AB42">
        <v>0</v>
      </c>
      <c r="AC42">
        <v>0</v>
      </c>
      <c r="AD42">
        <v>0</v>
      </c>
      <c r="AE42">
        <v>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3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3</v>
      </c>
      <c r="DC42">
        <v>3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1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1</v>
      </c>
      <c r="FB42">
        <v>0</v>
      </c>
      <c r="FC42">
        <v>0</v>
      </c>
      <c r="FD42">
        <v>0</v>
      </c>
      <c r="FE42">
        <v>1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1</v>
      </c>
      <c r="FU42">
        <v>0</v>
      </c>
      <c r="FV42">
        <v>1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1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1</v>
      </c>
      <c r="GU42">
        <v>0</v>
      </c>
      <c r="GV42">
        <v>0</v>
      </c>
      <c r="GW42">
        <v>0</v>
      </c>
      <c r="GX42">
        <v>1</v>
      </c>
      <c r="GY42">
        <v>1</v>
      </c>
      <c r="GZ42">
        <v>0</v>
      </c>
      <c r="HA42">
        <v>0</v>
      </c>
      <c r="HB42">
        <v>0</v>
      </c>
      <c r="HC42">
        <v>1</v>
      </c>
      <c r="HD42">
        <v>0</v>
      </c>
      <c r="HE42">
        <v>0</v>
      </c>
      <c r="HF42">
        <v>1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</v>
      </c>
      <c r="HN42">
        <v>0</v>
      </c>
      <c r="HO42">
        <v>0</v>
      </c>
      <c r="HP42">
        <v>1</v>
      </c>
      <c r="HQ42">
        <v>0</v>
      </c>
      <c r="HR42">
        <v>0</v>
      </c>
      <c r="HS42">
        <v>0</v>
      </c>
      <c r="HT42">
        <v>0</v>
      </c>
      <c r="HU42">
        <v>3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2</v>
      </c>
      <c r="IE42">
        <v>0</v>
      </c>
      <c r="IF42">
        <v>1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1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2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1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1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1</v>
      </c>
      <c r="KH42">
        <v>0</v>
      </c>
      <c r="KI42">
        <v>0</v>
      </c>
      <c r="KJ42">
        <v>0</v>
      </c>
      <c r="KK42">
        <v>1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1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1</v>
      </c>
      <c r="LS42">
        <v>0</v>
      </c>
      <c r="LT42">
        <v>0</v>
      </c>
      <c r="LU42">
        <v>0</v>
      </c>
      <c r="LV42">
        <v>1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1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1</v>
      </c>
      <c r="NC42">
        <v>1</v>
      </c>
      <c r="ND42">
        <v>0</v>
      </c>
      <c r="NE42">
        <v>1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1</v>
      </c>
      <c r="NZ42">
        <v>0</v>
      </c>
      <c r="OA42">
        <v>0</v>
      </c>
      <c r="OB42">
        <v>1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1</v>
      </c>
      <c r="PL42">
        <v>0</v>
      </c>
      <c r="PM42">
        <v>0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0</v>
      </c>
      <c r="PW42">
        <v>1</v>
      </c>
      <c r="PX42">
        <v>0</v>
      </c>
      <c r="PY42">
        <v>0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0</v>
      </c>
      <c r="QF42">
        <v>0</v>
      </c>
      <c r="QG42">
        <v>0</v>
      </c>
      <c r="QH42">
        <v>0</v>
      </c>
      <c r="QI42">
        <v>1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</row>
    <row r="43" spans="1:467" x14ac:dyDescent="0.4">
      <c r="A43" t="str">
        <f>"9784088925332"</f>
        <v>9784088925332</v>
      </c>
      <c r="B43" t="str">
        <f>"4088925335"</f>
        <v>4088925335</v>
      </c>
      <c r="C43" t="s">
        <v>1943</v>
      </c>
      <c r="D43" t="s">
        <v>1944</v>
      </c>
      <c r="E43" t="s">
        <v>536</v>
      </c>
      <c r="F43" t="s">
        <v>1859</v>
      </c>
      <c r="G43" t="str">
        <f>"9979"</f>
        <v>9979</v>
      </c>
      <c r="H43" t="s">
        <v>1855</v>
      </c>
      <c r="I43" t="s">
        <v>1856</v>
      </c>
      <c r="J43" t="s">
        <v>1856</v>
      </c>
      <c r="L43" s="1">
        <v>44914</v>
      </c>
      <c r="M43">
        <v>650</v>
      </c>
      <c r="N43">
        <v>48</v>
      </c>
      <c r="O43">
        <v>31</v>
      </c>
      <c r="P43">
        <v>48</v>
      </c>
      <c r="Q43">
        <v>31</v>
      </c>
      <c r="R43">
        <v>0</v>
      </c>
      <c r="S43">
        <v>1</v>
      </c>
      <c r="T43">
        <v>1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3</v>
      </c>
      <c r="AE43">
        <v>0</v>
      </c>
      <c r="AF43">
        <v>0</v>
      </c>
      <c r="AG43">
        <v>0</v>
      </c>
      <c r="AH43">
        <v>0</v>
      </c>
      <c r="AI43">
        <v>2</v>
      </c>
      <c r="AJ43">
        <v>0</v>
      </c>
      <c r="AK43">
        <v>3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4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2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2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1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1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1</v>
      </c>
      <c r="FZ43">
        <v>1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1</v>
      </c>
      <c r="GR43">
        <v>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2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1</v>
      </c>
      <c r="HV43">
        <v>1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2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2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3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1</v>
      </c>
      <c r="KR43">
        <v>0</v>
      </c>
      <c r="KS43">
        <v>0</v>
      </c>
      <c r="KT43">
        <v>0</v>
      </c>
      <c r="KU43">
        <v>0</v>
      </c>
      <c r="KV43">
        <v>1</v>
      </c>
      <c r="KW43">
        <v>1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1</v>
      </c>
      <c r="NA43">
        <v>0</v>
      </c>
      <c r="NB43">
        <v>0</v>
      </c>
      <c r="NC43">
        <v>0</v>
      </c>
      <c r="ND43">
        <v>0</v>
      </c>
      <c r="NE43">
        <v>2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1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</row>
    <row r="44" spans="1:467" x14ac:dyDescent="0.4">
      <c r="A44" t="str">
        <f>"9784065302682"</f>
        <v>9784065302682</v>
      </c>
      <c r="B44" t="str">
        <f>"4065302684"</f>
        <v>4065302684</v>
      </c>
      <c r="C44" t="s">
        <v>1945</v>
      </c>
      <c r="D44" t="s">
        <v>1946</v>
      </c>
      <c r="E44" t="s">
        <v>548</v>
      </c>
      <c r="F44" t="s">
        <v>1947</v>
      </c>
      <c r="G44" t="str">
        <f>"9979"</f>
        <v>9979</v>
      </c>
      <c r="H44" t="s">
        <v>1855</v>
      </c>
      <c r="I44" t="s">
        <v>1856</v>
      </c>
      <c r="J44" t="s">
        <v>1856</v>
      </c>
      <c r="L44" s="1">
        <v>44949</v>
      </c>
      <c r="M44">
        <v>680</v>
      </c>
      <c r="N44">
        <v>47</v>
      </c>
      <c r="O44">
        <v>35</v>
      </c>
      <c r="P44">
        <v>47</v>
      </c>
      <c r="Q44">
        <v>35</v>
      </c>
      <c r="R44">
        <v>0</v>
      </c>
      <c r="S44">
        <v>0</v>
      </c>
      <c r="T44">
        <v>0</v>
      </c>
      <c r="U44">
        <v>1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3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0</v>
      </c>
      <c r="AY44">
        <v>0</v>
      </c>
      <c r="AZ44">
        <v>0</v>
      </c>
      <c r="BA44">
        <v>0</v>
      </c>
      <c r="BB44">
        <v>1</v>
      </c>
      <c r="BC44">
        <v>0</v>
      </c>
      <c r="BD44">
        <v>1</v>
      </c>
      <c r="BE44">
        <v>0</v>
      </c>
      <c r="BF44">
        <v>1</v>
      </c>
      <c r="BG44">
        <v>0</v>
      </c>
      <c r="BH44">
        <v>1</v>
      </c>
      <c r="BI44">
        <v>0</v>
      </c>
      <c r="BJ44">
        <v>0</v>
      </c>
      <c r="BK44">
        <v>0</v>
      </c>
      <c r="BL44">
        <v>0</v>
      </c>
      <c r="BM44">
        <v>1</v>
      </c>
      <c r="BN44">
        <v>0</v>
      </c>
      <c r="BO44">
        <v>0</v>
      </c>
      <c r="BP44">
        <v>1</v>
      </c>
      <c r="BQ44">
        <v>1</v>
      </c>
      <c r="BR44">
        <v>1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4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1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1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1</v>
      </c>
      <c r="FW44">
        <v>0</v>
      </c>
      <c r="FX44">
        <v>0</v>
      </c>
      <c r="FY44">
        <v>0</v>
      </c>
      <c r="FZ44">
        <v>1</v>
      </c>
      <c r="GA44">
        <v>1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2</v>
      </c>
      <c r="GO44">
        <v>0</v>
      </c>
      <c r="GP44">
        <v>0</v>
      </c>
      <c r="GQ44">
        <v>0</v>
      </c>
      <c r="GR44">
        <v>1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2</v>
      </c>
      <c r="HW44">
        <v>4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1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1</v>
      </c>
      <c r="IU44">
        <v>0</v>
      </c>
      <c r="IV44">
        <v>0</v>
      </c>
      <c r="IW44">
        <v>1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2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1</v>
      </c>
      <c r="KH44">
        <v>1</v>
      </c>
      <c r="KI44">
        <v>0</v>
      </c>
      <c r="KJ44">
        <v>0</v>
      </c>
      <c r="KK44">
        <v>1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1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1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1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2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1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</v>
      </c>
      <c r="PH44">
        <v>0</v>
      </c>
      <c r="PI44">
        <v>0</v>
      </c>
      <c r="PJ44">
        <v>0</v>
      </c>
      <c r="PK44">
        <v>0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1</v>
      </c>
      <c r="QP44">
        <v>0</v>
      </c>
      <c r="QQ44">
        <v>0</v>
      </c>
      <c r="QR44">
        <v>0</v>
      </c>
      <c r="QS44">
        <v>0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</row>
    <row r="45" spans="1:467" x14ac:dyDescent="0.4">
      <c r="A45" t="str">
        <f>"9784088825274"</f>
        <v>9784088825274</v>
      </c>
      <c r="B45" t="str">
        <f>"4088825276"</f>
        <v>4088825276</v>
      </c>
      <c r="C45" t="s">
        <v>1948</v>
      </c>
      <c r="D45" t="s">
        <v>1853</v>
      </c>
      <c r="E45" t="s">
        <v>536</v>
      </c>
      <c r="F45" t="s">
        <v>1854</v>
      </c>
      <c r="G45" t="str">
        <f>"9979"</f>
        <v>9979</v>
      </c>
      <c r="H45" t="s">
        <v>1855</v>
      </c>
      <c r="I45" t="s">
        <v>1856</v>
      </c>
      <c r="J45" t="s">
        <v>1856</v>
      </c>
      <c r="L45" s="1">
        <v>44200</v>
      </c>
      <c r="M45">
        <v>440</v>
      </c>
      <c r="N45">
        <v>46</v>
      </c>
      <c r="O45">
        <v>32</v>
      </c>
      <c r="P45">
        <v>46</v>
      </c>
      <c r="Q45">
        <v>32</v>
      </c>
      <c r="R45">
        <v>0</v>
      </c>
      <c r="S45">
        <v>0</v>
      </c>
      <c r="T45">
        <v>1</v>
      </c>
      <c r="U45">
        <v>0</v>
      </c>
      <c r="V45">
        <v>0</v>
      </c>
      <c r="W45">
        <v>1</v>
      </c>
      <c r="X45">
        <v>0</v>
      </c>
      <c r="Y45">
        <v>1</v>
      </c>
      <c r="Z45">
        <v>0</v>
      </c>
      <c r="AA45">
        <v>1</v>
      </c>
      <c r="AB45">
        <v>0</v>
      </c>
      <c r="AC45">
        <v>0</v>
      </c>
      <c r="AD45">
        <v>0</v>
      </c>
      <c r="AE45">
        <v>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1</v>
      </c>
      <c r="BC45">
        <v>0</v>
      </c>
      <c r="BD45">
        <v>0</v>
      </c>
      <c r="BE45">
        <v>0</v>
      </c>
      <c r="BF45">
        <v>0</v>
      </c>
      <c r="BG45">
        <v>2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1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2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1</v>
      </c>
      <c r="DP45">
        <v>0</v>
      </c>
      <c r="DQ45">
        <v>0</v>
      </c>
      <c r="DR45">
        <v>0</v>
      </c>
      <c r="DS45">
        <v>0</v>
      </c>
      <c r="DT45">
        <v>2</v>
      </c>
      <c r="DU45">
        <v>0</v>
      </c>
      <c r="DV45">
        <v>0</v>
      </c>
      <c r="DW45">
        <v>0</v>
      </c>
      <c r="DX45">
        <v>0</v>
      </c>
      <c r="DY45">
        <v>2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1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1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1</v>
      </c>
      <c r="FB45">
        <v>0</v>
      </c>
      <c r="FC45">
        <v>0</v>
      </c>
      <c r="FD45">
        <v>0</v>
      </c>
      <c r="FE45">
        <v>1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5</v>
      </c>
      <c r="FU45">
        <v>0</v>
      </c>
      <c r="FV45">
        <v>0</v>
      </c>
      <c r="FW45">
        <v>0</v>
      </c>
      <c r="FX45">
        <v>0</v>
      </c>
      <c r="FY45">
        <v>1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2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1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1</v>
      </c>
      <c r="HV45">
        <v>1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1</v>
      </c>
      <c r="IW45">
        <v>0</v>
      </c>
      <c r="IX45">
        <v>0</v>
      </c>
      <c r="IY45">
        <v>1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1</v>
      </c>
      <c r="JR45">
        <v>2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3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1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1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1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1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0</v>
      </c>
      <c r="OY45">
        <v>0</v>
      </c>
      <c r="OZ45">
        <v>0</v>
      </c>
      <c r="PA45">
        <v>0</v>
      </c>
      <c r="PB45">
        <v>0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0</v>
      </c>
      <c r="PL45">
        <v>0</v>
      </c>
      <c r="PM45">
        <v>0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0</v>
      </c>
      <c r="PT45">
        <v>0</v>
      </c>
      <c r="PU45">
        <v>0</v>
      </c>
      <c r="PV45">
        <v>0</v>
      </c>
      <c r="PW45">
        <v>0</v>
      </c>
      <c r="PX45">
        <v>0</v>
      </c>
      <c r="PY45">
        <v>0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0</v>
      </c>
      <c r="QG45">
        <v>0</v>
      </c>
      <c r="QH45">
        <v>0</v>
      </c>
      <c r="QI45">
        <v>0</v>
      </c>
      <c r="QJ45">
        <v>0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</row>
    <row r="46" spans="1:467" x14ac:dyDescent="0.4">
      <c r="A46" t="str">
        <f>"9784088824703"</f>
        <v>9784088824703</v>
      </c>
      <c r="B46" t="str">
        <f>"4088824709"</f>
        <v>4088824709</v>
      </c>
      <c r="C46" t="s">
        <v>1949</v>
      </c>
      <c r="D46" t="s">
        <v>1853</v>
      </c>
      <c r="E46" t="s">
        <v>536</v>
      </c>
      <c r="F46" t="s">
        <v>1854</v>
      </c>
      <c r="G46" t="str">
        <f>"9979"</f>
        <v>9979</v>
      </c>
      <c r="H46" t="s">
        <v>1855</v>
      </c>
      <c r="I46" t="s">
        <v>1856</v>
      </c>
      <c r="J46" t="s">
        <v>1856</v>
      </c>
      <c r="L46" s="1">
        <v>44139</v>
      </c>
      <c r="M46">
        <v>440</v>
      </c>
      <c r="N46">
        <v>46</v>
      </c>
      <c r="O46">
        <v>31</v>
      </c>
      <c r="P46">
        <v>46</v>
      </c>
      <c r="Q46">
        <v>31</v>
      </c>
      <c r="R46">
        <v>0</v>
      </c>
      <c r="S46">
        <v>0</v>
      </c>
      <c r="T46">
        <v>1</v>
      </c>
      <c r="U46">
        <v>0</v>
      </c>
      <c r="V46">
        <v>0</v>
      </c>
      <c r="W46">
        <v>1</v>
      </c>
      <c r="X46">
        <v>0</v>
      </c>
      <c r="Y46">
        <v>1</v>
      </c>
      <c r="Z46">
        <v>0</v>
      </c>
      <c r="AA46">
        <v>1</v>
      </c>
      <c r="AB46">
        <v>0</v>
      </c>
      <c r="AC46">
        <v>0</v>
      </c>
      <c r="AD46">
        <v>0</v>
      </c>
      <c r="AE46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1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1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1</v>
      </c>
      <c r="DP46">
        <v>0</v>
      </c>
      <c r="DQ46">
        <v>0</v>
      </c>
      <c r="DR46">
        <v>0</v>
      </c>
      <c r="DS46">
        <v>0</v>
      </c>
      <c r="DT46">
        <v>1</v>
      </c>
      <c r="DU46">
        <v>0</v>
      </c>
      <c r="DV46">
        <v>0</v>
      </c>
      <c r="DW46">
        <v>1</v>
      </c>
      <c r="DX46">
        <v>0</v>
      </c>
      <c r="DY46">
        <v>3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1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1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1</v>
      </c>
      <c r="FB46">
        <v>0</v>
      </c>
      <c r="FC46">
        <v>0</v>
      </c>
      <c r="FD46">
        <v>0</v>
      </c>
      <c r="FE46">
        <v>1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1</v>
      </c>
      <c r="FP46">
        <v>0</v>
      </c>
      <c r="FQ46">
        <v>0</v>
      </c>
      <c r="FR46">
        <v>0</v>
      </c>
      <c r="FS46">
        <v>0</v>
      </c>
      <c r="FT46">
        <v>7</v>
      </c>
      <c r="FU46">
        <v>0</v>
      </c>
      <c r="FV46">
        <v>0</v>
      </c>
      <c r="FW46">
        <v>0</v>
      </c>
      <c r="FX46">
        <v>0</v>
      </c>
      <c r="FY46">
        <v>1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2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1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1</v>
      </c>
      <c r="HV46">
        <v>1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1</v>
      </c>
      <c r="IW46">
        <v>0</v>
      </c>
      <c r="IX46">
        <v>0</v>
      </c>
      <c r="IY46">
        <v>1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3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2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3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1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1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1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</v>
      </c>
      <c r="PU46">
        <v>0</v>
      </c>
      <c r="PV46">
        <v>0</v>
      </c>
      <c r="PW46">
        <v>0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</row>
    <row r="47" spans="1:467" x14ac:dyDescent="0.4">
      <c r="A47" t="str">
        <f>"9784867204467"</f>
        <v>9784867204467</v>
      </c>
      <c r="B47" t="str">
        <f>"4867204463"</f>
        <v>4867204463</v>
      </c>
      <c r="C47" t="s">
        <v>1950</v>
      </c>
      <c r="D47" t="s">
        <v>1951</v>
      </c>
      <c r="E47" t="s">
        <v>1952</v>
      </c>
      <c r="F47" t="s">
        <v>1953</v>
      </c>
      <c r="G47" t="str">
        <f>"9979"</f>
        <v>9979</v>
      </c>
      <c r="H47" t="s">
        <v>1855</v>
      </c>
      <c r="I47" t="s">
        <v>1856</v>
      </c>
      <c r="J47" t="s">
        <v>1856</v>
      </c>
      <c r="L47" s="1">
        <v>44915</v>
      </c>
      <c r="M47">
        <v>660</v>
      </c>
      <c r="N47">
        <v>46</v>
      </c>
      <c r="O47">
        <v>27</v>
      </c>
      <c r="P47">
        <v>46</v>
      </c>
      <c r="Q47">
        <v>27</v>
      </c>
      <c r="R47">
        <v>0</v>
      </c>
      <c r="S47">
        <v>0</v>
      </c>
      <c r="T47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</v>
      </c>
      <c r="AC47">
        <v>0</v>
      </c>
      <c r="AD47">
        <v>0</v>
      </c>
      <c r="AE47">
        <v>1</v>
      </c>
      <c r="AF47">
        <v>0</v>
      </c>
      <c r="AG47">
        <v>0</v>
      </c>
      <c r="AH47">
        <v>0</v>
      </c>
      <c r="AI47">
        <v>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3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1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3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5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2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1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1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1</v>
      </c>
      <c r="JN47">
        <v>0</v>
      </c>
      <c r="JO47">
        <v>0</v>
      </c>
      <c r="JP47">
        <v>0</v>
      </c>
      <c r="JQ47">
        <v>2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6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1</v>
      </c>
      <c r="KW47">
        <v>1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1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1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1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1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1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0</v>
      </c>
      <c r="PL47">
        <v>0</v>
      </c>
      <c r="PM47">
        <v>1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3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1</v>
      </c>
      <c r="QB47">
        <v>0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3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</row>
    <row r="48" spans="1:467" hidden="1" x14ac:dyDescent="0.4">
      <c r="A48" t="str">
        <f>"9784103275237"</f>
        <v>9784103275237</v>
      </c>
      <c r="B48" t="str">
        <f>"4103275235"</f>
        <v>4103275235</v>
      </c>
      <c r="C48" t="s">
        <v>1954</v>
      </c>
      <c r="D48" t="s">
        <v>1955</v>
      </c>
      <c r="E48" t="s">
        <v>516</v>
      </c>
      <c r="G48" t="str">
        <f>"0095"</f>
        <v>0095</v>
      </c>
      <c r="H48" t="s">
        <v>481</v>
      </c>
      <c r="I48" t="s">
        <v>1893</v>
      </c>
      <c r="J48" t="s">
        <v>509</v>
      </c>
      <c r="L48" s="1">
        <v>44860</v>
      </c>
      <c r="M48">
        <v>2400</v>
      </c>
      <c r="N48">
        <v>46</v>
      </c>
      <c r="O48">
        <v>29</v>
      </c>
      <c r="P48">
        <v>46</v>
      </c>
      <c r="Q48">
        <v>29</v>
      </c>
      <c r="R48">
        <v>0</v>
      </c>
      <c r="S48">
        <v>1</v>
      </c>
      <c r="T48">
        <v>1</v>
      </c>
      <c r="U48">
        <v>0</v>
      </c>
      <c r="V48">
        <v>0</v>
      </c>
      <c r="W48">
        <v>0</v>
      </c>
      <c r="X48">
        <v>0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4</v>
      </c>
      <c r="CI48">
        <v>1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1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1</v>
      </c>
      <c r="DC48">
        <v>2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1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2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1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2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1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4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1</v>
      </c>
      <c r="IU48">
        <v>0</v>
      </c>
      <c r="IV48">
        <v>0</v>
      </c>
      <c r="IW48">
        <v>0</v>
      </c>
      <c r="IX48">
        <v>0</v>
      </c>
      <c r="IY48">
        <v>2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6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</v>
      </c>
      <c r="JN48">
        <v>0</v>
      </c>
      <c r="JO48">
        <v>0</v>
      </c>
      <c r="JP48">
        <v>0</v>
      </c>
      <c r="JQ48">
        <v>1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1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1</v>
      </c>
      <c r="MM48">
        <v>0</v>
      </c>
      <c r="MN48">
        <v>1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1</v>
      </c>
      <c r="NC48">
        <v>0</v>
      </c>
      <c r="ND48">
        <v>0</v>
      </c>
      <c r="NE48">
        <v>2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2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1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1</v>
      </c>
      <c r="PL48">
        <v>0</v>
      </c>
      <c r="PM48">
        <v>0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0</v>
      </c>
      <c r="PU48">
        <v>0</v>
      </c>
      <c r="PV48">
        <v>1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1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</row>
    <row r="49" spans="1:467" x14ac:dyDescent="0.4">
      <c r="A49" t="str">
        <f>"9784088825762"</f>
        <v>9784088825762</v>
      </c>
      <c r="B49" t="str">
        <f>"4088825764"</f>
        <v>4088825764</v>
      </c>
      <c r="C49" t="s">
        <v>1956</v>
      </c>
      <c r="D49" t="s">
        <v>1853</v>
      </c>
      <c r="E49" t="s">
        <v>536</v>
      </c>
      <c r="F49" t="s">
        <v>1854</v>
      </c>
      <c r="G49" t="str">
        <f>"9979"</f>
        <v>9979</v>
      </c>
      <c r="H49" t="s">
        <v>1855</v>
      </c>
      <c r="I49" t="s">
        <v>1856</v>
      </c>
      <c r="J49" t="s">
        <v>1856</v>
      </c>
      <c r="L49" s="1">
        <v>44259</v>
      </c>
      <c r="M49">
        <v>440</v>
      </c>
      <c r="N49">
        <v>45</v>
      </c>
      <c r="O49">
        <v>34</v>
      </c>
      <c r="P49">
        <v>45</v>
      </c>
      <c r="Q49">
        <v>34</v>
      </c>
      <c r="R49">
        <v>0</v>
      </c>
      <c r="S49">
        <v>0</v>
      </c>
      <c r="T49">
        <v>1</v>
      </c>
      <c r="U49">
        <v>0</v>
      </c>
      <c r="V49">
        <v>0</v>
      </c>
      <c r="W49">
        <v>1</v>
      </c>
      <c r="X49">
        <v>0</v>
      </c>
      <c r="Y49">
        <v>1</v>
      </c>
      <c r="Z49">
        <v>0</v>
      </c>
      <c r="AA49">
        <v>1</v>
      </c>
      <c r="AB49">
        <v>0</v>
      </c>
      <c r="AC49">
        <v>0</v>
      </c>
      <c r="AD49">
        <v>0</v>
      </c>
      <c r="AE49">
        <v>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1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2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1</v>
      </c>
      <c r="DP49">
        <v>0</v>
      </c>
      <c r="DQ49">
        <v>0</v>
      </c>
      <c r="DR49">
        <v>0</v>
      </c>
      <c r="DS49">
        <v>0</v>
      </c>
      <c r="DT49">
        <v>1</v>
      </c>
      <c r="DU49">
        <v>0</v>
      </c>
      <c r="DV49">
        <v>0</v>
      </c>
      <c r="DW49">
        <v>0</v>
      </c>
      <c r="DX49">
        <v>0</v>
      </c>
      <c r="DY49">
        <v>2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1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1</v>
      </c>
      <c r="FB49">
        <v>0</v>
      </c>
      <c r="FC49">
        <v>0</v>
      </c>
      <c r="FD49">
        <v>0</v>
      </c>
      <c r="FE49">
        <v>1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1</v>
      </c>
      <c r="FP49">
        <v>0</v>
      </c>
      <c r="FQ49">
        <v>0</v>
      </c>
      <c r="FR49">
        <v>0</v>
      </c>
      <c r="FS49">
        <v>0</v>
      </c>
      <c r="FT49">
        <v>3</v>
      </c>
      <c r="FU49">
        <v>0</v>
      </c>
      <c r="FV49">
        <v>0</v>
      </c>
      <c r="FW49">
        <v>0</v>
      </c>
      <c r="FX49">
        <v>0</v>
      </c>
      <c r="FY49">
        <v>1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2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1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1</v>
      </c>
      <c r="HV49">
        <v>1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1</v>
      </c>
      <c r="IW49">
        <v>0</v>
      </c>
      <c r="IX49">
        <v>0</v>
      </c>
      <c r="IY49">
        <v>1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4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1</v>
      </c>
      <c r="JR49">
        <v>2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3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1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1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1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1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1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1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0</v>
      </c>
      <c r="PL49">
        <v>0</v>
      </c>
      <c r="PM49">
        <v>0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0</v>
      </c>
      <c r="PT49">
        <v>0</v>
      </c>
      <c r="PU49">
        <v>0</v>
      </c>
      <c r="PV49">
        <v>0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</row>
    <row r="50" spans="1:467" hidden="1" x14ac:dyDescent="0.4">
      <c r="A50" t="str">
        <f>"9784480917430"</f>
        <v>9784480917430</v>
      </c>
      <c r="B50" t="str">
        <f>"4480917438"</f>
        <v>4480917438</v>
      </c>
      <c r="C50" t="s">
        <v>1957</v>
      </c>
      <c r="D50" t="s">
        <v>1958</v>
      </c>
      <c r="E50" t="s">
        <v>501</v>
      </c>
      <c r="G50" t="str">
        <f>"7095"</f>
        <v>7095</v>
      </c>
      <c r="H50" t="s">
        <v>1959</v>
      </c>
      <c r="I50" t="s">
        <v>1893</v>
      </c>
      <c r="J50" t="s">
        <v>509</v>
      </c>
      <c r="L50" s="1">
        <v>44849</v>
      </c>
      <c r="M50">
        <v>880</v>
      </c>
      <c r="N50">
        <v>44</v>
      </c>
      <c r="O50">
        <v>4</v>
      </c>
      <c r="P50">
        <v>44</v>
      </c>
      <c r="Q50">
        <v>4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1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41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1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0</v>
      </c>
      <c r="PL50">
        <v>0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</v>
      </c>
    </row>
    <row r="51" spans="1:467" hidden="1" x14ac:dyDescent="0.4">
      <c r="A51" t="str">
        <f>"9784142231461"</f>
        <v>9784142231461</v>
      </c>
      <c r="B51" t="str">
        <f>"4142231464"</f>
        <v>4142231464</v>
      </c>
      <c r="C51" t="s">
        <v>1960</v>
      </c>
      <c r="D51" t="s">
        <v>863</v>
      </c>
      <c r="E51" t="s">
        <v>480</v>
      </c>
      <c r="F51" t="s">
        <v>1961</v>
      </c>
      <c r="G51" t="str">
        <f>"9495"</f>
        <v>9495</v>
      </c>
      <c r="H51" t="s">
        <v>1855</v>
      </c>
      <c r="I51" t="s">
        <v>1884</v>
      </c>
      <c r="J51" t="s">
        <v>509</v>
      </c>
      <c r="L51" s="1">
        <v>44891</v>
      </c>
      <c r="M51">
        <v>545</v>
      </c>
      <c r="N51">
        <v>44</v>
      </c>
      <c r="O51">
        <v>32</v>
      </c>
      <c r="P51">
        <v>44</v>
      </c>
      <c r="Q51">
        <v>32</v>
      </c>
      <c r="R51">
        <v>0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1</v>
      </c>
      <c r="CF51">
        <v>0</v>
      </c>
      <c r="CG51">
        <v>0</v>
      </c>
      <c r="CH51">
        <v>2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2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1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1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1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1</v>
      </c>
      <c r="FK51">
        <v>0</v>
      </c>
      <c r="FL51">
        <v>0</v>
      </c>
      <c r="FM51">
        <v>0</v>
      </c>
      <c r="FN51">
        <v>0</v>
      </c>
      <c r="FO51">
        <v>1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1</v>
      </c>
      <c r="GJ51">
        <v>0</v>
      </c>
      <c r="GK51">
        <v>0</v>
      </c>
      <c r="GL51">
        <v>0</v>
      </c>
      <c r="GM51">
        <v>1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1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1</v>
      </c>
      <c r="HV51">
        <v>1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1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2</v>
      </c>
      <c r="IM51">
        <v>0</v>
      </c>
      <c r="IN51">
        <v>0</v>
      </c>
      <c r="IO51">
        <v>1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7</v>
      </c>
      <c r="JG51">
        <v>0</v>
      </c>
      <c r="JH51">
        <v>0</v>
      </c>
      <c r="JI51">
        <v>0</v>
      </c>
      <c r="JJ51">
        <v>2</v>
      </c>
      <c r="JK51">
        <v>0</v>
      </c>
      <c r="JL51">
        <v>0</v>
      </c>
      <c r="JM51">
        <v>2</v>
      </c>
      <c r="JN51">
        <v>1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1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1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1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1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1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1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1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1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</v>
      </c>
      <c r="PU51">
        <v>0</v>
      </c>
      <c r="PV51">
        <v>0</v>
      </c>
      <c r="PW51">
        <v>1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0</v>
      </c>
      <c r="QF51">
        <v>0</v>
      </c>
      <c r="QG51">
        <v>0</v>
      </c>
      <c r="QH51">
        <v>0</v>
      </c>
      <c r="QI51">
        <v>0</v>
      </c>
      <c r="QJ51">
        <v>0</v>
      </c>
      <c r="QK51">
        <v>2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</row>
    <row r="52" spans="1:467" x14ac:dyDescent="0.4">
      <c r="A52" t="str">
        <f>"9784065299197"</f>
        <v>9784065299197</v>
      </c>
      <c r="B52" t="str">
        <f>"4065299195"</f>
        <v>4065299195</v>
      </c>
      <c r="C52" t="s">
        <v>1962</v>
      </c>
      <c r="D52" t="s">
        <v>1963</v>
      </c>
      <c r="E52" t="s">
        <v>548</v>
      </c>
      <c r="F52" t="s">
        <v>1947</v>
      </c>
      <c r="G52" t="str">
        <f t="shared" ref="G52:G57" si="1">"9979"</f>
        <v>9979</v>
      </c>
      <c r="H52" t="s">
        <v>1855</v>
      </c>
      <c r="I52" t="s">
        <v>1856</v>
      </c>
      <c r="J52" t="s">
        <v>1856</v>
      </c>
      <c r="L52" s="1">
        <v>44949</v>
      </c>
      <c r="M52">
        <v>680</v>
      </c>
      <c r="N52">
        <v>43</v>
      </c>
      <c r="O52">
        <v>23</v>
      </c>
      <c r="P52">
        <v>43</v>
      </c>
      <c r="Q52">
        <v>23</v>
      </c>
      <c r="R52">
        <v>0</v>
      </c>
      <c r="S52">
        <v>0</v>
      </c>
      <c r="T52">
        <v>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4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3</v>
      </c>
      <c r="BC52">
        <v>0</v>
      </c>
      <c r="BD52">
        <v>2</v>
      </c>
      <c r="BE52">
        <v>0</v>
      </c>
      <c r="BF52">
        <v>0</v>
      </c>
      <c r="BG52">
        <v>3</v>
      </c>
      <c r="BH52">
        <v>0</v>
      </c>
      <c r="BI52">
        <v>1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1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2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1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2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2</v>
      </c>
      <c r="HV52">
        <v>2</v>
      </c>
      <c r="HW52">
        <v>0</v>
      </c>
      <c r="HX52">
        <v>0</v>
      </c>
      <c r="HY52">
        <v>1</v>
      </c>
      <c r="HZ52">
        <v>0</v>
      </c>
      <c r="IA52">
        <v>0</v>
      </c>
      <c r="IB52">
        <v>0</v>
      </c>
      <c r="IC52">
        <v>0</v>
      </c>
      <c r="ID52">
        <v>2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1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3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2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2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2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0</v>
      </c>
      <c r="PU52">
        <v>0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1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</row>
    <row r="53" spans="1:467" x14ac:dyDescent="0.4">
      <c r="A53" t="str">
        <f>"9784800012845"</f>
        <v>9784800012845</v>
      </c>
      <c r="B53" t="str">
        <f>"4800012848"</f>
        <v>4800012848</v>
      </c>
      <c r="C53" t="s">
        <v>1964</v>
      </c>
      <c r="D53" t="s">
        <v>1965</v>
      </c>
      <c r="E53" t="s">
        <v>1966</v>
      </c>
      <c r="F53" t="s">
        <v>1967</v>
      </c>
      <c r="G53" t="str">
        <f t="shared" si="1"/>
        <v>9979</v>
      </c>
      <c r="H53" t="s">
        <v>1855</v>
      </c>
      <c r="I53" t="s">
        <v>1856</v>
      </c>
      <c r="J53" t="s">
        <v>1856</v>
      </c>
      <c r="L53" s="1">
        <v>44936</v>
      </c>
      <c r="M53">
        <v>630</v>
      </c>
      <c r="N53">
        <v>43</v>
      </c>
      <c r="O53">
        <v>24</v>
      </c>
      <c r="P53">
        <v>43</v>
      </c>
      <c r="Q53">
        <v>24</v>
      </c>
      <c r="R53">
        <v>0</v>
      </c>
      <c r="S53">
        <v>0</v>
      </c>
      <c r="T53">
        <v>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0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0</v>
      </c>
      <c r="BG53">
        <v>1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2</v>
      </c>
      <c r="DY53">
        <v>1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2</v>
      </c>
      <c r="GO53">
        <v>0</v>
      </c>
      <c r="GP53">
        <v>0</v>
      </c>
      <c r="GQ53">
        <v>0</v>
      </c>
      <c r="GR53">
        <v>1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2</v>
      </c>
      <c r="HV53">
        <v>4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1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3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3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4</v>
      </c>
      <c r="KC53">
        <v>0</v>
      </c>
      <c r="KD53">
        <v>0</v>
      </c>
      <c r="KE53">
        <v>0</v>
      </c>
      <c r="KF53">
        <v>1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1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2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2</v>
      </c>
      <c r="PH53">
        <v>0</v>
      </c>
      <c r="PI53">
        <v>0</v>
      </c>
      <c r="PJ53">
        <v>0</v>
      </c>
      <c r="PK53">
        <v>0</v>
      </c>
      <c r="PL53">
        <v>0</v>
      </c>
      <c r="PM53">
        <v>1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2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3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</row>
    <row r="54" spans="1:467" x14ac:dyDescent="0.4">
      <c r="A54" t="str">
        <f>"9784088823768"</f>
        <v>9784088823768</v>
      </c>
      <c r="B54" t="str">
        <f>"4088823761"</f>
        <v>4088823761</v>
      </c>
      <c r="C54" t="s">
        <v>1968</v>
      </c>
      <c r="D54" t="s">
        <v>1853</v>
      </c>
      <c r="E54" t="s">
        <v>536</v>
      </c>
      <c r="F54" t="s">
        <v>1854</v>
      </c>
      <c r="G54" t="str">
        <f t="shared" si="1"/>
        <v>9979</v>
      </c>
      <c r="H54" t="s">
        <v>1855</v>
      </c>
      <c r="I54" t="s">
        <v>1856</v>
      </c>
      <c r="J54" t="s">
        <v>1856</v>
      </c>
      <c r="L54" s="1">
        <v>44047</v>
      </c>
      <c r="M54">
        <v>440</v>
      </c>
      <c r="N54">
        <v>42</v>
      </c>
      <c r="O54">
        <v>29</v>
      </c>
      <c r="P54">
        <v>42</v>
      </c>
      <c r="Q54">
        <v>29</v>
      </c>
      <c r="R54">
        <v>0</v>
      </c>
      <c r="S54">
        <v>0</v>
      </c>
      <c r="T54">
        <v>1</v>
      </c>
      <c r="U54">
        <v>0</v>
      </c>
      <c r="V54">
        <v>0</v>
      </c>
      <c r="W54">
        <v>1</v>
      </c>
      <c r="X54">
        <v>0</v>
      </c>
      <c r="Y54">
        <v>1</v>
      </c>
      <c r="Z54">
        <v>0</v>
      </c>
      <c r="AA54">
        <v>1</v>
      </c>
      <c r="AB54">
        <v>0</v>
      </c>
      <c r="AC54">
        <v>0</v>
      </c>
      <c r="AD54">
        <v>0</v>
      </c>
      <c r="AE54">
        <v>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1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2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1</v>
      </c>
      <c r="DM54">
        <v>0</v>
      </c>
      <c r="DN54">
        <v>0</v>
      </c>
      <c r="DO54">
        <v>1</v>
      </c>
      <c r="DP54">
        <v>0</v>
      </c>
      <c r="DQ54">
        <v>0</v>
      </c>
      <c r="DR54">
        <v>0</v>
      </c>
      <c r="DS54">
        <v>0</v>
      </c>
      <c r="DT54">
        <v>1</v>
      </c>
      <c r="DU54">
        <v>0</v>
      </c>
      <c r="DV54">
        <v>0</v>
      </c>
      <c r="DW54">
        <v>1</v>
      </c>
      <c r="DX54">
        <v>0</v>
      </c>
      <c r="DY54">
        <v>3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1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1</v>
      </c>
      <c r="FB54">
        <v>0</v>
      </c>
      <c r="FC54">
        <v>0</v>
      </c>
      <c r="FD54">
        <v>0</v>
      </c>
      <c r="FE54">
        <v>1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7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1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1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1</v>
      </c>
      <c r="HV54">
        <v>1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1</v>
      </c>
      <c r="IW54">
        <v>0</v>
      </c>
      <c r="IX54">
        <v>0</v>
      </c>
      <c r="IY54">
        <v>1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3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1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3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1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1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1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0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>
        <v>0</v>
      </c>
      <c r="PH54">
        <v>0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</row>
    <row r="55" spans="1:467" x14ac:dyDescent="0.4">
      <c r="A55" t="str">
        <f>"9784088833453"</f>
        <v>9784088833453</v>
      </c>
      <c r="B55" t="str">
        <f>"4088833457"</f>
        <v>4088833457</v>
      </c>
      <c r="C55" t="s">
        <v>1969</v>
      </c>
      <c r="D55" t="s">
        <v>1970</v>
      </c>
      <c r="E55" t="s">
        <v>536</v>
      </c>
      <c r="F55" t="s">
        <v>1971</v>
      </c>
      <c r="G55" t="str">
        <f t="shared" si="1"/>
        <v>9979</v>
      </c>
      <c r="H55" t="s">
        <v>1855</v>
      </c>
      <c r="I55" t="s">
        <v>1856</v>
      </c>
      <c r="J55" t="s">
        <v>1856</v>
      </c>
      <c r="L55" s="1">
        <v>44930</v>
      </c>
      <c r="M55">
        <v>520</v>
      </c>
      <c r="N55">
        <v>41</v>
      </c>
      <c r="O55">
        <v>34</v>
      </c>
      <c r="P55">
        <v>41</v>
      </c>
      <c r="Q55">
        <v>34</v>
      </c>
      <c r="R55">
        <v>0</v>
      </c>
      <c r="S55">
        <v>2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0</v>
      </c>
      <c r="AK55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3</v>
      </c>
      <c r="BC55">
        <v>0</v>
      </c>
      <c r="BD55">
        <v>0</v>
      </c>
      <c r="BE55">
        <v>1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1</v>
      </c>
      <c r="BM55">
        <v>1</v>
      </c>
      <c r="BN55">
        <v>0</v>
      </c>
      <c r="BO55">
        <v>1</v>
      </c>
      <c r="BP55">
        <v>1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3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1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1</v>
      </c>
      <c r="GO55">
        <v>0</v>
      </c>
      <c r="GP55">
        <v>0</v>
      </c>
      <c r="GQ55">
        <v>0</v>
      </c>
      <c r="GR55">
        <v>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1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1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1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1</v>
      </c>
      <c r="IX55">
        <v>0</v>
      </c>
      <c r="IY55">
        <v>0</v>
      </c>
      <c r="IZ55">
        <v>1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1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1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1</v>
      </c>
      <c r="KC55">
        <v>2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1</v>
      </c>
      <c r="KW55">
        <v>1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1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1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1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1</v>
      </c>
      <c r="OP55">
        <v>0</v>
      </c>
      <c r="OQ55">
        <v>0</v>
      </c>
      <c r="OR55">
        <v>0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1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1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2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</row>
    <row r="56" spans="1:467" x14ac:dyDescent="0.4">
      <c r="A56" t="str">
        <f>"9784088832876"</f>
        <v>9784088832876</v>
      </c>
      <c r="B56" t="str">
        <f>"4088832876"</f>
        <v>4088832876</v>
      </c>
      <c r="C56" t="s">
        <v>1972</v>
      </c>
      <c r="D56" t="s">
        <v>1973</v>
      </c>
      <c r="E56" t="s">
        <v>536</v>
      </c>
      <c r="F56" t="s">
        <v>1854</v>
      </c>
      <c r="G56" t="str">
        <f t="shared" si="1"/>
        <v>9979</v>
      </c>
      <c r="H56" t="s">
        <v>1855</v>
      </c>
      <c r="I56" t="s">
        <v>1856</v>
      </c>
      <c r="J56" t="s">
        <v>1856</v>
      </c>
      <c r="L56" s="1">
        <v>44867</v>
      </c>
      <c r="M56">
        <v>480</v>
      </c>
      <c r="N56">
        <v>41</v>
      </c>
      <c r="O56">
        <v>30</v>
      </c>
      <c r="P56">
        <v>41</v>
      </c>
      <c r="Q56">
        <v>30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</v>
      </c>
      <c r="AL56">
        <v>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1</v>
      </c>
      <c r="BC56">
        <v>0</v>
      </c>
      <c r="BD56">
        <v>0</v>
      </c>
      <c r="BE56">
        <v>0</v>
      </c>
      <c r="BF56">
        <v>0</v>
      </c>
      <c r="BG56">
        <v>2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1</v>
      </c>
      <c r="CI56">
        <v>2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1</v>
      </c>
      <c r="CR56">
        <v>0</v>
      </c>
      <c r="CS56">
        <v>0</v>
      </c>
      <c r="CT56">
        <v>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1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1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1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1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1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1</v>
      </c>
      <c r="HW56">
        <v>1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1</v>
      </c>
      <c r="IZ56">
        <v>1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3</v>
      </c>
      <c r="JG56">
        <v>1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2</v>
      </c>
      <c r="JQ56">
        <v>4</v>
      </c>
      <c r="JR56">
        <v>1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2</v>
      </c>
      <c r="KC56">
        <v>0</v>
      </c>
      <c r="KD56">
        <v>0</v>
      </c>
      <c r="KE56">
        <v>0</v>
      </c>
      <c r="KF56">
        <v>1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1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1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1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1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2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</row>
    <row r="57" spans="1:467" x14ac:dyDescent="0.4">
      <c r="A57" t="str">
        <f>"9784088823287"</f>
        <v>9784088823287</v>
      </c>
      <c r="B57" t="str">
        <f>"4088823281"</f>
        <v>4088823281</v>
      </c>
      <c r="C57" t="s">
        <v>1974</v>
      </c>
      <c r="D57" t="s">
        <v>1853</v>
      </c>
      <c r="E57" t="s">
        <v>536</v>
      </c>
      <c r="F57" t="s">
        <v>1854</v>
      </c>
      <c r="G57" t="str">
        <f t="shared" si="1"/>
        <v>9979</v>
      </c>
      <c r="H57" t="s">
        <v>1855</v>
      </c>
      <c r="I57" t="s">
        <v>1856</v>
      </c>
      <c r="J57" t="s">
        <v>1856</v>
      </c>
      <c r="L57" s="1">
        <v>43986</v>
      </c>
      <c r="M57">
        <v>440</v>
      </c>
      <c r="N57">
        <v>40</v>
      </c>
      <c r="O57">
        <v>29</v>
      </c>
      <c r="P57">
        <v>40</v>
      </c>
      <c r="Q57">
        <v>29</v>
      </c>
      <c r="R57">
        <v>0</v>
      </c>
      <c r="S57">
        <v>1</v>
      </c>
      <c r="T57">
        <v>1</v>
      </c>
      <c r="U57">
        <v>0</v>
      </c>
      <c r="V57">
        <v>0</v>
      </c>
      <c r="W57">
        <v>1</v>
      </c>
      <c r="X57">
        <v>0</v>
      </c>
      <c r="Y57">
        <v>1</v>
      </c>
      <c r="Z57">
        <v>0</v>
      </c>
      <c r="AA57">
        <v>1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1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1</v>
      </c>
      <c r="DM57">
        <v>0</v>
      </c>
      <c r="DN57">
        <v>0</v>
      </c>
      <c r="DO57">
        <v>1</v>
      </c>
      <c r="DP57">
        <v>0</v>
      </c>
      <c r="DQ57">
        <v>0</v>
      </c>
      <c r="DR57">
        <v>0</v>
      </c>
      <c r="DS57">
        <v>0</v>
      </c>
      <c r="DT57">
        <v>1</v>
      </c>
      <c r="DU57">
        <v>0</v>
      </c>
      <c r="DV57">
        <v>0</v>
      </c>
      <c r="DW57">
        <v>1</v>
      </c>
      <c r="DX57">
        <v>0</v>
      </c>
      <c r="DY57">
        <v>2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1</v>
      </c>
      <c r="FB57">
        <v>0</v>
      </c>
      <c r="FC57">
        <v>0</v>
      </c>
      <c r="FD57">
        <v>0</v>
      </c>
      <c r="FE57">
        <v>1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7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1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1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1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1</v>
      </c>
      <c r="IW57">
        <v>0</v>
      </c>
      <c r="IX57">
        <v>0</v>
      </c>
      <c r="IY57">
        <v>1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3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1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3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1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1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1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1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0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0</v>
      </c>
      <c r="QF57">
        <v>0</v>
      </c>
      <c r="QG57">
        <v>0</v>
      </c>
      <c r="QH57">
        <v>0</v>
      </c>
      <c r="QI57">
        <v>0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</row>
    <row r="58" spans="1:467" hidden="1" x14ac:dyDescent="0.4">
      <c r="A58" t="str">
        <f>"9784469269093"</f>
        <v>9784469269093</v>
      </c>
      <c r="B58" t="str">
        <f>"4469269093"</f>
        <v>4469269093</v>
      </c>
      <c r="C58" t="s">
        <v>1975</v>
      </c>
      <c r="D58" t="s">
        <v>1976</v>
      </c>
      <c r="E58" t="s">
        <v>1977</v>
      </c>
      <c r="G58" t="str">
        <f>"3075"</f>
        <v>3075</v>
      </c>
      <c r="H58" t="s">
        <v>761</v>
      </c>
      <c r="I58" t="s">
        <v>1893</v>
      </c>
      <c r="J58" t="s">
        <v>1635</v>
      </c>
      <c r="L58" s="1">
        <v>44268</v>
      </c>
      <c r="M58">
        <v>2100</v>
      </c>
      <c r="N58">
        <v>40</v>
      </c>
      <c r="O58">
        <v>1</v>
      </c>
      <c r="P58">
        <v>40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40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  <c r="QG58">
        <v>0</v>
      </c>
      <c r="QH58">
        <v>0</v>
      </c>
      <c r="QI58">
        <v>0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</row>
    <row r="59" spans="1:467" x14ac:dyDescent="0.4">
      <c r="A59" t="str">
        <f>"9784088820750"</f>
        <v>9784088820750</v>
      </c>
      <c r="B59" t="str">
        <f>"4088820754"</f>
        <v>4088820754</v>
      </c>
      <c r="C59" t="s">
        <v>1978</v>
      </c>
      <c r="D59" t="s">
        <v>1853</v>
      </c>
      <c r="E59" t="s">
        <v>536</v>
      </c>
      <c r="F59" t="s">
        <v>1854</v>
      </c>
      <c r="G59" t="str">
        <f>"9979"</f>
        <v>9979</v>
      </c>
      <c r="H59" t="s">
        <v>1855</v>
      </c>
      <c r="I59" t="s">
        <v>1856</v>
      </c>
      <c r="J59" t="s">
        <v>1856</v>
      </c>
      <c r="L59" s="1">
        <v>43742</v>
      </c>
      <c r="M59">
        <v>440</v>
      </c>
      <c r="N59">
        <v>39</v>
      </c>
      <c r="O59">
        <v>28</v>
      </c>
      <c r="P59">
        <v>39</v>
      </c>
      <c r="Q59">
        <v>28</v>
      </c>
      <c r="R59">
        <v>0</v>
      </c>
      <c r="S59">
        <v>0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  <c r="AA59">
        <v>1</v>
      </c>
      <c r="AB59">
        <v>0</v>
      </c>
      <c r="AC59">
        <v>0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1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1</v>
      </c>
      <c r="CI59">
        <v>1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1</v>
      </c>
      <c r="DP59">
        <v>0</v>
      </c>
      <c r="DQ59">
        <v>0</v>
      </c>
      <c r="DR59">
        <v>0</v>
      </c>
      <c r="DS59">
        <v>0</v>
      </c>
      <c r="DT59">
        <v>1</v>
      </c>
      <c r="DU59">
        <v>0</v>
      </c>
      <c r="DV59">
        <v>0</v>
      </c>
      <c r="DW59">
        <v>1</v>
      </c>
      <c r="DX59">
        <v>0</v>
      </c>
      <c r="DY59">
        <v>1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1</v>
      </c>
      <c r="EF59">
        <v>1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1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1</v>
      </c>
      <c r="FB59">
        <v>0</v>
      </c>
      <c r="FC59">
        <v>0</v>
      </c>
      <c r="FD59">
        <v>0</v>
      </c>
      <c r="FE59">
        <v>1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7</v>
      </c>
      <c r="FU59">
        <v>0</v>
      </c>
      <c r="FV59">
        <v>0</v>
      </c>
      <c r="FW59">
        <v>0</v>
      </c>
      <c r="FX59">
        <v>0</v>
      </c>
      <c r="FY59">
        <v>1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1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1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1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1</v>
      </c>
      <c r="IW59">
        <v>0</v>
      </c>
      <c r="IX59">
        <v>0</v>
      </c>
      <c r="IY59">
        <v>1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3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1</v>
      </c>
      <c r="JR59">
        <v>1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1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1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4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</row>
    <row r="60" spans="1:467" x14ac:dyDescent="0.4">
      <c r="A60" t="str">
        <f>"9784088821719"</f>
        <v>9784088821719</v>
      </c>
      <c r="B60" t="str">
        <f>"4088821718"</f>
        <v>4088821718</v>
      </c>
      <c r="C60" t="s">
        <v>1979</v>
      </c>
      <c r="D60" t="s">
        <v>1853</v>
      </c>
      <c r="E60" t="s">
        <v>536</v>
      </c>
      <c r="F60" t="s">
        <v>1854</v>
      </c>
      <c r="G60" t="str">
        <f>"9979"</f>
        <v>9979</v>
      </c>
      <c r="H60" t="s">
        <v>1855</v>
      </c>
      <c r="I60" t="s">
        <v>1856</v>
      </c>
      <c r="J60" t="s">
        <v>1856</v>
      </c>
      <c r="L60" s="1">
        <v>43834</v>
      </c>
      <c r="M60">
        <v>440</v>
      </c>
      <c r="N60">
        <v>39</v>
      </c>
      <c r="O60">
        <v>27</v>
      </c>
      <c r="P60">
        <v>39</v>
      </c>
      <c r="Q60">
        <v>27</v>
      </c>
      <c r="R60">
        <v>0</v>
      </c>
      <c r="S60">
        <v>1</v>
      </c>
      <c r="T60">
        <v>1</v>
      </c>
      <c r="U60">
        <v>0</v>
      </c>
      <c r="V60">
        <v>0</v>
      </c>
      <c r="W60">
        <v>1</v>
      </c>
      <c r="X60">
        <v>0</v>
      </c>
      <c r="Y60">
        <v>1</v>
      </c>
      <c r="Z60">
        <v>0</v>
      </c>
      <c r="AA60">
        <v>1</v>
      </c>
      <c r="AB60">
        <v>0</v>
      </c>
      <c r="AC60">
        <v>0</v>
      </c>
      <c r="AD60">
        <v>0</v>
      </c>
      <c r="AE60">
        <v>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1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1</v>
      </c>
      <c r="DP60">
        <v>0</v>
      </c>
      <c r="DQ60">
        <v>0</v>
      </c>
      <c r="DR60">
        <v>0</v>
      </c>
      <c r="DS60">
        <v>0</v>
      </c>
      <c r="DT60">
        <v>1</v>
      </c>
      <c r="DU60">
        <v>0</v>
      </c>
      <c r="DV60">
        <v>0</v>
      </c>
      <c r="DW60">
        <v>2</v>
      </c>
      <c r="DX60">
        <v>0</v>
      </c>
      <c r="DY60">
        <v>2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1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1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1</v>
      </c>
      <c r="FB60">
        <v>0</v>
      </c>
      <c r="FC60">
        <v>0</v>
      </c>
      <c r="FD60">
        <v>0</v>
      </c>
      <c r="FE60">
        <v>1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7</v>
      </c>
      <c r="FU60">
        <v>0</v>
      </c>
      <c r="FV60">
        <v>0</v>
      </c>
      <c r="FW60">
        <v>0</v>
      </c>
      <c r="FX60">
        <v>0</v>
      </c>
      <c r="FY60">
        <v>1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1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1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1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1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2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1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2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2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2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0</v>
      </c>
      <c r="PU60">
        <v>0</v>
      </c>
      <c r="PV60">
        <v>0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</row>
    <row r="61" spans="1:467" x14ac:dyDescent="0.4">
      <c r="A61" t="str">
        <f>"9784088822242"</f>
        <v>9784088822242</v>
      </c>
      <c r="B61" t="str">
        <f>"4088822242"</f>
        <v>4088822242</v>
      </c>
      <c r="C61" t="s">
        <v>1980</v>
      </c>
      <c r="D61" t="s">
        <v>1853</v>
      </c>
      <c r="E61" t="s">
        <v>536</v>
      </c>
      <c r="F61" t="s">
        <v>1854</v>
      </c>
      <c r="G61" t="str">
        <f>"9979"</f>
        <v>9979</v>
      </c>
      <c r="H61" t="s">
        <v>1855</v>
      </c>
      <c r="I61" t="s">
        <v>1856</v>
      </c>
      <c r="J61" t="s">
        <v>1856</v>
      </c>
      <c r="L61" s="1">
        <v>43894</v>
      </c>
      <c r="M61">
        <v>440</v>
      </c>
      <c r="N61">
        <v>38</v>
      </c>
      <c r="O61">
        <v>28</v>
      </c>
      <c r="P61">
        <v>38</v>
      </c>
      <c r="Q61">
        <v>28</v>
      </c>
      <c r="R61">
        <v>0</v>
      </c>
      <c r="S61">
        <v>1</v>
      </c>
      <c r="T61">
        <v>1</v>
      </c>
      <c r="U61">
        <v>0</v>
      </c>
      <c r="V61">
        <v>0</v>
      </c>
      <c r="W61">
        <v>1</v>
      </c>
      <c r="X61">
        <v>0</v>
      </c>
      <c r="Y61">
        <v>1</v>
      </c>
      <c r="Z61">
        <v>0</v>
      </c>
      <c r="AA61">
        <v>1</v>
      </c>
      <c r="AB61">
        <v>0</v>
      </c>
      <c r="AC61">
        <v>0</v>
      </c>
      <c r="AD61">
        <v>0</v>
      </c>
      <c r="AE61">
        <v>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1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1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1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1</v>
      </c>
      <c r="DX61">
        <v>0</v>
      </c>
      <c r="DY61">
        <v>1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1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1</v>
      </c>
      <c r="FB61">
        <v>0</v>
      </c>
      <c r="FC61">
        <v>0</v>
      </c>
      <c r="FD61">
        <v>0</v>
      </c>
      <c r="FE61">
        <v>1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7</v>
      </c>
      <c r="FU61">
        <v>0</v>
      </c>
      <c r="FV61">
        <v>0</v>
      </c>
      <c r="FW61">
        <v>0</v>
      </c>
      <c r="FX61">
        <v>0</v>
      </c>
      <c r="FY61">
        <v>1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1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1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1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1</v>
      </c>
      <c r="IW61">
        <v>0</v>
      </c>
      <c r="IX61">
        <v>0</v>
      </c>
      <c r="IY61">
        <v>1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2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1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3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1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1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2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0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</row>
    <row r="62" spans="1:467" hidden="1" x14ac:dyDescent="0.4">
      <c r="A62" t="str">
        <f>"9784103541127"</f>
        <v>9784103541127</v>
      </c>
      <c r="B62" t="str">
        <f>"4103541121"</f>
        <v>4103541121</v>
      </c>
      <c r="C62" t="s">
        <v>1981</v>
      </c>
      <c r="D62" t="s">
        <v>1982</v>
      </c>
      <c r="E62" t="s">
        <v>516</v>
      </c>
      <c r="G62" t="str">
        <f>"0093"</f>
        <v>0093</v>
      </c>
      <c r="H62" t="s">
        <v>481</v>
      </c>
      <c r="I62" t="s">
        <v>1893</v>
      </c>
      <c r="J62" t="s">
        <v>488</v>
      </c>
      <c r="L62" s="1">
        <v>44944</v>
      </c>
      <c r="M62">
        <v>1700</v>
      </c>
      <c r="N62">
        <v>38</v>
      </c>
      <c r="O62">
        <v>24</v>
      </c>
      <c r="P62">
        <v>38</v>
      </c>
      <c r="Q62">
        <v>24</v>
      </c>
      <c r="R62">
        <v>0</v>
      </c>
      <c r="S62">
        <v>1</v>
      </c>
      <c r="T62">
        <v>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1</v>
      </c>
      <c r="BC62">
        <v>0</v>
      </c>
      <c r="BD62">
        <v>0</v>
      </c>
      <c r="BE62">
        <v>1</v>
      </c>
      <c r="BF62">
        <v>0</v>
      </c>
      <c r="BG62">
        <v>2</v>
      </c>
      <c r="BH62">
        <v>0</v>
      </c>
      <c r="BI62">
        <v>0</v>
      </c>
      <c r="BJ62">
        <v>0</v>
      </c>
      <c r="BK62">
        <v>0</v>
      </c>
      <c r="BL62">
        <v>4</v>
      </c>
      <c r="BM62">
        <v>0</v>
      </c>
      <c r="BN62">
        <v>0</v>
      </c>
      <c r="BO62">
        <v>0</v>
      </c>
      <c r="BP62">
        <v>2</v>
      </c>
      <c r="BQ62">
        <v>0</v>
      </c>
      <c r="BR62">
        <v>0</v>
      </c>
      <c r="BS62">
        <v>8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1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2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1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1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2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1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1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1</v>
      </c>
      <c r="OT62">
        <v>1</v>
      </c>
      <c r="OU62">
        <v>0</v>
      </c>
      <c r="OV62">
        <v>0</v>
      </c>
      <c r="OW62">
        <v>1</v>
      </c>
      <c r="OX62">
        <v>0</v>
      </c>
      <c r="OY62">
        <v>0</v>
      </c>
      <c r="OZ62">
        <v>0</v>
      </c>
      <c r="PA62">
        <v>0</v>
      </c>
      <c r="PB62">
        <v>1</v>
      </c>
      <c r="PC62">
        <v>0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0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1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</row>
    <row r="63" spans="1:467" x14ac:dyDescent="0.4">
      <c r="A63" t="str">
        <f>"9784098515530"</f>
        <v>9784098515530</v>
      </c>
      <c r="B63" t="str">
        <f>"4098515539"</f>
        <v>4098515539</v>
      </c>
      <c r="C63" t="s">
        <v>1983</v>
      </c>
      <c r="D63" t="s">
        <v>1984</v>
      </c>
      <c r="E63" t="s">
        <v>1069</v>
      </c>
      <c r="F63" t="s">
        <v>1881</v>
      </c>
      <c r="G63" t="str">
        <f>"9979"</f>
        <v>9979</v>
      </c>
      <c r="H63" t="s">
        <v>1855</v>
      </c>
      <c r="I63" t="s">
        <v>1856</v>
      </c>
      <c r="J63" t="s">
        <v>1856</v>
      </c>
      <c r="L63" s="1">
        <v>44944</v>
      </c>
      <c r="M63">
        <v>500</v>
      </c>
      <c r="N63">
        <v>38</v>
      </c>
      <c r="O63">
        <v>30</v>
      </c>
      <c r="P63">
        <v>38</v>
      </c>
      <c r="Q63">
        <v>30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3</v>
      </c>
      <c r="BC63">
        <v>0</v>
      </c>
      <c r="BD63">
        <v>2</v>
      </c>
      <c r="BE63">
        <v>0</v>
      </c>
      <c r="BF63">
        <v>0</v>
      </c>
      <c r="BG63">
        <v>1</v>
      </c>
      <c r="BH63">
        <v>0</v>
      </c>
      <c r="BI63">
        <v>3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1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1</v>
      </c>
      <c r="DZ63">
        <v>0</v>
      </c>
      <c r="EA63">
        <v>1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1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1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2</v>
      </c>
      <c r="HV63">
        <v>0</v>
      </c>
      <c r="HW63">
        <v>1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1</v>
      </c>
      <c r="IM63">
        <v>0</v>
      </c>
      <c r="IN63">
        <v>1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1</v>
      </c>
      <c r="IU63">
        <v>0</v>
      </c>
      <c r="IV63">
        <v>0</v>
      </c>
      <c r="IW63">
        <v>1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2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1</v>
      </c>
      <c r="JO63">
        <v>0</v>
      </c>
      <c r="JP63">
        <v>0</v>
      </c>
      <c r="JQ63">
        <v>1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1</v>
      </c>
      <c r="JX63">
        <v>0</v>
      </c>
      <c r="JY63">
        <v>0</v>
      </c>
      <c r="JZ63">
        <v>0</v>
      </c>
      <c r="KA63">
        <v>0</v>
      </c>
      <c r="KB63">
        <v>1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1</v>
      </c>
      <c r="LG63">
        <v>0</v>
      </c>
      <c r="LH63">
        <v>0</v>
      </c>
      <c r="LI63">
        <v>0</v>
      </c>
      <c r="LJ63">
        <v>2</v>
      </c>
      <c r="LK63">
        <v>0</v>
      </c>
      <c r="LL63">
        <v>0</v>
      </c>
      <c r="LM63">
        <v>0</v>
      </c>
      <c r="LN63">
        <v>0</v>
      </c>
      <c r="LO63">
        <v>1</v>
      </c>
      <c r="LP63">
        <v>0</v>
      </c>
      <c r="LQ63">
        <v>0</v>
      </c>
      <c r="LR63">
        <v>1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1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1</v>
      </c>
      <c r="OP63">
        <v>0</v>
      </c>
      <c r="OQ63">
        <v>0</v>
      </c>
      <c r="OR63">
        <v>0</v>
      </c>
      <c r="OS63">
        <v>0</v>
      </c>
      <c r="OT63">
        <v>1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0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</row>
    <row r="64" spans="1:467" hidden="1" x14ac:dyDescent="0.4">
      <c r="A64" t="str">
        <f>"9784130101530"</f>
        <v>9784130101530</v>
      </c>
      <c r="B64" t="str">
        <f>"4130101536"</f>
        <v>4130101536</v>
      </c>
      <c r="C64" t="s">
        <v>1985</v>
      </c>
      <c r="D64" t="s">
        <v>1986</v>
      </c>
      <c r="E64" t="s">
        <v>1987</v>
      </c>
      <c r="G64" t="str">
        <f>"3074"</f>
        <v>3074</v>
      </c>
      <c r="H64" t="s">
        <v>761</v>
      </c>
      <c r="I64" t="s">
        <v>1893</v>
      </c>
      <c r="J64" t="s">
        <v>1393</v>
      </c>
      <c r="L64" s="1">
        <v>44921</v>
      </c>
      <c r="M64">
        <v>8200</v>
      </c>
      <c r="N64">
        <v>37</v>
      </c>
      <c r="O64">
        <v>29</v>
      </c>
      <c r="P64">
        <v>37</v>
      </c>
      <c r="Q64">
        <v>29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1</v>
      </c>
      <c r="BC64">
        <v>0</v>
      </c>
      <c r="BD64">
        <v>0</v>
      </c>
      <c r="BE64">
        <v>1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</v>
      </c>
      <c r="CD64">
        <v>0</v>
      </c>
      <c r="CE64">
        <v>0</v>
      </c>
      <c r="CF64">
        <v>0</v>
      </c>
      <c r="CG64">
        <v>0</v>
      </c>
      <c r="CH64">
        <v>2</v>
      </c>
      <c r="CI64">
        <v>1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2</v>
      </c>
      <c r="CR64">
        <v>0</v>
      </c>
      <c r="CS64">
        <v>3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1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2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1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1</v>
      </c>
      <c r="JN64">
        <v>0</v>
      </c>
      <c r="JO64">
        <v>0</v>
      </c>
      <c r="JP64">
        <v>0</v>
      </c>
      <c r="JQ64">
        <v>2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1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1</v>
      </c>
      <c r="MM64">
        <v>0</v>
      </c>
      <c r="MN64">
        <v>1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2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1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1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1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1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1</v>
      </c>
      <c r="PJ64">
        <v>0</v>
      </c>
      <c r="PK64">
        <v>1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1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2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</row>
    <row r="65" spans="1:467" hidden="1" x14ac:dyDescent="0.4">
      <c r="A65" t="str">
        <f>"9784766133684"</f>
        <v>9784766133684</v>
      </c>
      <c r="B65" t="str">
        <f>"4766133684"</f>
        <v>4766133684</v>
      </c>
      <c r="C65" t="s">
        <v>1988</v>
      </c>
      <c r="D65" t="s">
        <v>1989</v>
      </c>
      <c r="E65" t="s">
        <v>1990</v>
      </c>
      <c r="G65" t="str">
        <f>"2371"</f>
        <v>2371</v>
      </c>
      <c r="H65" t="s">
        <v>1991</v>
      </c>
      <c r="I65" t="s">
        <v>1877</v>
      </c>
      <c r="J65" t="s">
        <v>1437</v>
      </c>
      <c r="L65" s="1">
        <v>43739</v>
      </c>
      <c r="M65">
        <v>2200</v>
      </c>
      <c r="N65">
        <v>36</v>
      </c>
      <c r="O65">
        <v>2</v>
      </c>
      <c r="P65">
        <v>36</v>
      </c>
      <c r="Q65">
        <v>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35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1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0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</row>
    <row r="66" spans="1:467" x14ac:dyDescent="0.4">
      <c r="A66" t="str">
        <f>"9784088832012"</f>
        <v>9784088832012</v>
      </c>
      <c r="B66" t="str">
        <f>"4088832019"</f>
        <v>4088832019</v>
      </c>
      <c r="C66" t="s">
        <v>1992</v>
      </c>
      <c r="D66" t="s">
        <v>1869</v>
      </c>
      <c r="E66" t="s">
        <v>536</v>
      </c>
      <c r="F66" t="s">
        <v>1854</v>
      </c>
      <c r="G66" t="str">
        <f>"9979"</f>
        <v>9979</v>
      </c>
      <c r="H66" t="s">
        <v>1855</v>
      </c>
      <c r="I66" t="s">
        <v>1856</v>
      </c>
      <c r="J66" t="s">
        <v>1856</v>
      </c>
      <c r="L66" s="1">
        <v>44775</v>
      </c>
      <c r="M66">
        <v>440</v>
      </c>
      <c r="N66">
        <v>36</v>
      </c>
      <c r="O66">
        <v>29</v>
      </c>
      <c r="P66">
        <v>36</v>
      </c>
      <c r="Q66">
        <v>29</v>
      </c>
      <c r="R66">
        <v>0</v>
      </c>
      <c r="S66">
        <v>0</v>
      </c>
      <c r="T66">
        <v>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1</v>
      </c>
      <c r="BC66">
        <v>0</v>
      </c>
      <c r="BD66">
        <v>1</v>
      </c>
      <c r="BE66">
        <v>1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3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1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1</v>
      </c>
      <c r="DU66">
        <v>0</v>
      </c>
      <c r="DV66">
        <v>0</v>
      </c>
      <c r="DW66">
        <v>0</v>
      </c>
      <c r="DX66">
        <v>0</v>
      </c>
      <c r="DY66">
        <v>1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1</v>
      </c>
      <c r="FP66">
        <v>0</v>
      </c>
      <c r="FQ66">
        <v>0</v>
      </c>
      <c r="FR66">
        <v>0</v>
      </c>
      <c r="FS66">
        <v>0</v>
      </c>
      <c r="FT66">
        <v>1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2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1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2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1</v>
      </c>
      <c r="JN66">
        <v>1</v>
      </c>
      <c r="JO66">
        <v>0</v>
      </c>
      <c r="JP66">
        <v>1</v>
      </c>
      <c r="JQ66">
        <v>1</v>
      </c>
      <c r="JR66">
        <v>1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4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1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1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1</v>
      </c>
      <c r="MA66">
        <v>0</v>
      </c>
      <c r="MB66">
        <v>0</v>
      </c>
      <c r="MC66">
        <v>0</v>
      </c>
      <c r="MD66">
        <v>1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1</v>
      </c>
      <c r="NA66">
        <v>0</v>
      </c>
      <c r="NB66">
        <v>0</v>
      </c>
      <c r="NC66">
        <v>0</v>
      </c>
      <c r="ND66">
        <v>0</v>
      </c>
      <c r="NE66">
        <v>1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1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1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0</v>
      </c>
      <c r="PO66">
        <v>0</v>
      </c>
      <c r="PP66">
        <v>0</v>
      </c>
      <c r="PQ66">
        <v>0</v>
      </c>
      <c r="PR66">
        <v>0</v>
      </c>
      <c r="PS66">
        <v>0</v>
      </c>
      <c r="PT66">
        <v>0</v>
      </c>
      <c r="PU66">
        <v>0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0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</row>
    <row r="67" spans="1:467" hidden="1" x14ac:dyDescent="0.4">
      <c r="A67" t="str">
        <f>"9784105072711"</f>
        <v>9784105072711</v>
      </c>
      <c r="B67" t="str">
        <f>"4105072714"</f>
        <v>4105072714</v>
      </c>
      <c r="C67" t="s">
        <v>1993</v>
      </c>
      <c r="D67" t="s">
        <v>1994</v>
      </c>
      <c r="E67" t="s">
        <v>516</v>
      </c>
      <c r="G67" t="str">
        <f>"0098"</f>
        <v>0098</v>
      </c>
      <c r="H67" t="s">
        <v>481</v>
      </c>
      <c r="I67" t="s">
        <v>1893</v>
      </c>
      <c r="J67" t="s">
        <v>1894</v>
      </c>
      <c r="L67" s="1">
        <v>44644</v>
      </c>
      <c r="M67">
        <v>2000</v>
      </c>
      <c r="N67">
        <v>36</v>
      </c>
      <c r="O67">
        <v>33</v>
      </c>
      <c r="P67">
        <v>36</v>
      </c>
      <c r="Q67">
        <v>33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1</v>
      </c>
      <c r="CI67">
        <v>1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1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1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1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1</v>
      </c>
      <c r="GJ67">
        <v>0</v>
      </c>
      <c r="GK67">
        <v>0</v>
      </c>
      <c r="GL67">
        <v>1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1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1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1</v>
      </c>
      <c r="IK67">
        <v>0</v>
      </c>
      <c r="IL67">
        <v>0</v>
      </c>
      <c r="IM67">
        <v>0</v>
      </c>
      <c r="IN67">
        <v>0</v>
      </c>
      <c r="IO67">
        <v>1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2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2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1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1</v>
      </c>
      <c r="KF67">
        <v>0</v>
      </c>
      <c r="KG67">
        <v>1</v>
      </c>
      <c r="KH67">
        <v>0</v>
      </c>
      <c r="KI67">
        <v>0</v>
      </c>
      <c r="KJ67">
        <v>0</v>
      </c>
      <c r="KK67">
        <v>1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1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1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1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1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1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1</v>
      </c>
      <c r="OG67">
        <v>2</v>
      </c>
      <c r="OH67">
        <v>0</v>
      </c>
      <c r="OI67">
        <v>0</v>
      </c>
      <c r="OJ67">
        <v>0</v>
      </c>
      <c r="OK67">
        <v>0</v>
      </c>
      <c r="OL67">
        <v>1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1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1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1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1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1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1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</row>
    <row r="68" spans="1:467" x14ac:dyDescent="0.4">
      <c r="A68" t="str">
        <f>"9784047371729"</f>
        <v>9784047371729</v>
      </c>
      <c r="B68" t="str">
        <f>"4047371726"</f>
        <v>4047371726</v>
      </c>
      <c r="C68" t="s">
        <v>1995</v>
      </c>
      <c r="D68" t="s">
        <v>1996</v>
      </c>
      <c r="E68" t="s">
        <v>597</v>
      </c>
      <c r="F68" t="s">
        <v>1997</v>
      </c>
      <c r="G68" t="str">
        <f>"0979"</f>
        <v>0979</v>
      </c>
      <c r="H68" t="s">
        <v>481</v>
      </c>
      <c r="I68" t="s">
        <v>1856</v>
      </c>
      <c r="J68" t="s">
        <v>1856</v>
      </c>
      <c r="L68" s="1">
        <v>44940</v>
      </c>
      <c r="M68">
        <v>680</v>
      </c>
      <c r="N68">
        <v>36</v>
      </c>
      <c r="O68">
        <v>23</v>
      </c>
      <c r="P68">
        <v>36</v>
      </c>
      <c r="Q68">
        <v>23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3</v>
      </c>
      <c r="AJ68">
        <v>0</v>
      </c>
      <c r="AK68">
        <v>0</v>
      </c>
      <c r="AL68">
        <v>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</v>
      </c>
      <c r="BD68">
        <v>0</v>
      </c>
      <c r="BE68">
        <v>3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</v>
      </c>
      <c r="CI68">
        <v>2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1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1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2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5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3</v>
      </c>
      <c r="JG68">
        <v>0</v>
      </c>
      <c r="JH68">
        <v>1</v>
      </c>
      <c r="JI68">
        <v>1</v>
      </c>
      <c r="JJ68">
        <v>0</v>
      </c>
      <c r="JK68">
        <v>0</v>
      </c>
      <c r="JL68">
        <v>1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1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1</v>
      </c>
      <c r="KR68">
        <v>0</v>
      </c>
      <c r="KS68">
        <v>0</v>
      </c>
      <c r="KT68">
        <v>0</v>
      </c>
      <c r="KU68">
        <v>0</v>
      </c>
      <c r="KV68">
        <v>1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1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1</v>
      </c>
      <c r="NF68">
        <v>0</v>
      </c>
      <c r="NG68">
        <v>0</v>
      </c>
      <c r="NH68">
        <v>0</v>
      </c>
      <c r="NI68">
        <v>1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1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1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</row>
    <row r="69" spans="1:467" hidden="1" x14ac:dyDescent="0.4">
      <c r="A69" t="str">
        <f>"9784163913629"</f>
        <v>9784163913629</v>
      </c>
      <c r="B69" t="str">
        <f>"4163913629"</f>
        <v>4163913629</v>
      </c>
      <c r="C69" t="s">
        <v>1998</v>
      </c>
      <c r="D69" t="s">
        <v>1999</v>
      </c>
      <c r="E69" t="s">
        <v>639</v>
      </c>
      <c r="G69" t="str">
        <f>"0095"</f>
        <v>0095</v>
      </c>
      <c r="H69" t="s">
        <v>481</v>
      </c>
      <c r="I69" t="s">
        <v>1893</v>
      </c>
      <c r="J69" t="s">
        <v>509</v>
      </c>
      <c r="L69" s="1">
        <v>44755</v>
      </c>
      <c r="M69">
        <v>2200</v>
      </c>
      <c r="N69">
        <v>33</v>
      </c>
      <c r="O69">
        <v>17</v>
      </c>
      <c r="P69">
        <v>33</v>
      </c>
      <c r="Q69">
        <v>17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3</v>
      </c>
      <c r="CI69">
        <v>9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1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3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2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1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1</v>
      </c>
      <c r="IU69">
        <v>0</v>
      </c>
      <c r="IV69">
        <v>0</v>
      </c>
      <c r="IW69">
        <v>0</v>
      </c>
      <c r="IX69">
        <v>0</v>
      </c>
      <c r="IY69">
        <v>2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</v>
      </c>
      <c r="JN69">
        <v>0</v>
      </c>
      <c r="JO69">
        <v>0</v>
      </c>
      <c r="JP69">
        <v>0</v>
      </c>
      <c r="JQ69">
        <v>1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1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2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2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1</v>
      </c>
      <c r="PL69">
        <v>0</v>
      </c>
      <c r="PM69">
        <v>1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</row>
    <row r="70" spans="1:467" hidden="1" x14ac:dyDescent="0.4">
      <c r="A70" t="str">
        <f>"9784087718010"</f>
        <v>9784087718010</v>
      </c>
      <c r="B70" t="str">
        <f>"4087718018"</f>
        <v>4087718018</v>
      </c>
      <c r="C70" t="s">
        <v>2000</v>
      </c>
      <c r="D70" t="s">
        <v>2001</v>
      </c>
      <c r="E70" t="s">
        <v>536</v>
      </c>
      <c r="G70" t="str">
        <f>"0093"</f>
        <v>0093</v>
      </c>
      <c r="H70" t="s">
        <v>481</v>
      </c>
      <c r="I70" t="s">
        <v>1893</v>
      </c>
      <c r="J70" t="s">
        <v>488</v>
      </c>
      <c r="L70" s="1">
        <v>44736</v>
      </c>
      <c r="M70">
        <v>2200</v>
      </c>
      <c r="N70">
        <v>33</v>
      </c>
      <c r="O70">
        <v>19</v>
      </c>
      <c r="P70">
        <v>33</v>
      </c>
      <c r="Q70">
        <v>19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</v>
      </c>
      <c r="CI70">
        <v>6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2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2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1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1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1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5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1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1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1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1</v>
      </c>
      <c r="ND70">
        <v>0</v>
      </c>
      <c r="NE70">
        <v>2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2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1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0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0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1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1</v>
      </c>
      <c r="QJ70">
        <v>0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</row>
    <row r="71" spans="1:467" x14ac:dyDescent="0.4">
      <c r="A71" t="str">
        <f>"9784041132630"</f>
        <v>9784041132630</v>
      </c>
      <c r="B71" t="str">
        <f>"4041132630"</f>
        <v>4041132630</v>
      </c>
      <c r="C71" t="s">
        <v>2002</v>
      </c>
      <c r="D71" t="s">
        <v>2003</v>
      </c>
      <c r="E71" t="s">
        <v>597</v>
      </c>
      <c r="F71" t="s">
        <v>1907</v>
      </c>
      <c r="G71" t="str">
        <f>"0979"</f>
        <v>0979</v>
      </c>
      <c r="H71" t="s">
        <v>481</v>
      </c>
      <c r="I71" t="s">
        <v>1856</v>
      </c>
      <c r="J71" t="s">
        <v>1856</v>
      </c>
      <c r="L71" s="1">
        <v>44918</v>
      </c>
      <c r="M71">
        <v>640</v>
      </c>
      <c r="N71">
        <v>33</v>
      </c>
      <c r="O71">
        <v>18</v>
      </c>
      <c r="P71">
        <v>33</v>
      </c>
      <c r="Q71">
        <v>18</v>
      </c>
      <c r="R71">
        <v>0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3</v>
      </c>
      <c r="CI71">
        <v>1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1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1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1</v>
      </c>
      <c r="GO71">
        <v>0</v>
      </c>
      <c r="GP71">
        <v>1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1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1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1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2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9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3</v>
      </c>
      <c r="JR71">
        <v>1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2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1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1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2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</row>
    <row r="72" spans="1:467" x14ac:dyDescent="0.4">
      <c r="A72" t="str">
        <f>"9784088820163"</f>
        <v>9784088820163</v>
      </c>
      <c r="B72" t="str">
        <f>"4088820169"</f>
        <v>4088820169</v>
      </c>
      <c r="C72" t="s">
        <v>2004</v>
      </c>
      <c r="D72" t="s">
        <v>1853</v>
      </c>
      <c r="E72" t="s">
        <v>536</v>
      </c>
      <c r="F72" t="s">
        <v>1854</v>
      </c>
      <c r="G72" t="str">
        <f>"9979"</f>
        <v>9979</v>
      </c>
      <c r="H72" t="s">
        <v>1855</v>
      </c>
      <c r="I72" t="s">
        <v>1856</v>
      </c>
      <c r="J72" t="s">
        <v>1856</v>
      </c>
      <c r="L72" s="1">
        <v>43679</v>
      </c>
      <c r="M72">
        <v>440</v>
      </c>
      <c r="N72">
        <v>33</v>
      </c>
      <c r="O72">
        <v>25</v>
      </c>
      <c r="P72">
        <v>33</v>
      </c>
      <c r="Q72">
        <v>25</v>
      </c>
      <c r="R72">
        <v>0</v>
      </c>
      <c r="S72">
        <v>0</v>
      </c>
      <c r="T72">
        <v>0</v>
      </c>
      <c r="U72">
        <v>0</v>
      </c>
      <c r="V72">
        <v>0</v>
      </c>
      <c r="W72">
        <v>1</v>
      </c>
      <c r="X72">
        <v>0</v>
      </c>
      <c r="Y72">
        <v>0</v>
      </c>
      <c r="Z72">
        <v>0</v>
      </c>
      <c r="AA72">
        <v>1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1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1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1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1</v>
      </c>
      <c r="DX72">
        <v>0</v>
      </c>
      <c r="DY72">
        <v>1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1</v>
      </c>
      <c r="EF72">
        <v>1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1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1</v>
      </c>
      <c r="FB72">
        <v>0</v>
      </c>
      <c r="FC72">
        <v>0</v>
      </c>
      <c r="FD72">
        <v>0</v>
      </c>
      <c r="FE72">
        <v>1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5</v>
      </c>
      <c r="FU72">
        <v>0</v>
      </c>
      <c r="FV72">
        <v>0</v>
      </c>
      <c r="FW72">
        <v>0</v>
      </c>
      <c r="FX72">
        <v>0</v>
      </c>
      <c r="FY72">
        <v>1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1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1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1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3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1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1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1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1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3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0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</row>
    <row r="73" spans="1:467" x14ac:dyDescent="0.4">
      <c r="A73" t="str">
        <f>"9784088831275"</f>
        <v>9784088831275</v>
      </c>
      <c r="B73" t="str">
        <f>"4088831276"</f>
        <v>4088831276</v>
      </c>
      <c r="C73" t="s">
        <v>2005</v>
      </c>
      <c r="D73" t="s">
        <v>2006</v>
      </c>
      <c r="E73" t="s">
        <v>536</v>
      </c>
      <c r="F73" t="s">
        <v>1935</v>
      </c>
      <c r="G73" t="str">
        <f>"9979"</f>
        <v>9979</v>
      </c>
      <c r="H73" t="s">
        <v>1855</v>
      </c>
      <c r="I73" t="s">
        <v>1856</v>
      </c>
      <c r="J73" t="s">
        <v>1856</v>
      </c>
      <c r="L73" s="1">
        <v>44837</v>
      </c>
      <c r="M73">
        <v>480</v>
      </c>
      <c r="N73">
        <v>31</v>
      </c>
      <c r="O73">
        <v>21</v>
      </c>
      <c r="P73">
        <v>31</v>
      </c>
      <c r="Q73">
        <v>21</v>
      </c>
      <c r="R73">
        <v>0</v>
      </c>
      <c r="S73">
        <v>1</v>
      </c>
      <c r="T73">
        <v>0</v>
      </c>
      <c r="U73">
        <v>0</v>
      </c>
      <c r="V73">
        <v>0</v>
      </c>
      <c r="W73">
        <v>2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1</v>
      </c>
      <c r="BF73">
        <v>0</v>
      </c>
      <c r="BG73">
        <v>1</v>
      </c>
      <c r="BH73">
        <v>0</v>
      </c>
      <c r="BI73">
        <v>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2</v>
      </c>
      <c r="CI73">
        <v>1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1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1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6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3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1</v>
      </c>
      <c r="JR73">
        <v>2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1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1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1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1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</v>
      </c>
      <c r="PT73">
        <v>0</v>
      </c>
      <c r="PU73">
        <v>0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1</v>
      </c>
      <c r="QB73">
        <v>0</v>
      </c>
      <c r="QC73">
        <v>0</v>
      </c>
      <c r="QD73">
        <v>0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0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0</v>
      </c>
      <c r="QS73">
        <v>0</v>
      </c>
      <c r="QT73">
        <v>0</v>
      </c>
      <c r="QU73">
        <v>0</v>
      </c>
      <c r="QV73">
        <v>0</v>
      </c>
      <c r="QW73">
        <v>1</v>
      </c>
      <c r="QX73">
        <v>0</v>
      </c>
      <c r="QY73">
        <v>0</v>
      </c>
    </row>
    <row r="74" spans="1:467" x14ac:dyDescent="0.4">
      <c r="A74" t="str">
        <f>"9784065301838"</f>
        <v>9784065301838</v>
      </c>
      <c r="B74" t="str">
        <f>"4065301831"</f>
        <v>4065301831</v>
      </c>
      <c r="C74" t="s">
        <v>2007</v>
      </c>
      <c r="D74" t="s">
        <v>2008</v>
      </c>
      <c r="E74" t="s">
        <v>548</v>
      </c>
      <c r="F74" t="s">
        <v>2009</v>
      </c>
      <c r="G74" t="str">
        <f>"9979"</f>
        <v>9979</v>
      </c>
      <c r="H74" t="s">
        <v>1855</v>
      </c>
      <c r="I74" t="s">
        <v>1856</v>
      </c>
      <c r="J74" t="s">
        <v>1856</v>
      </c>
      <c r="L74" s="1">
        <v>44949</v>
      </c>
      <c r="M74">
        <v>1100</v>
      </c>
      <c r="N74">
        <v>31</v>
      </c>
      <c r="O74">
        <v>21</v>
      </c>
      <c r="P74">
        <v>31</v>
      </c>
      <c r="Q74">
        <v>21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</v>
      </c>
      <c r="AS74">
        <v>0</v>
      </c>
      <c r="AT74">
        <v>0</v>
      </c>
      <c r="AU74">
        <v>0</v>
      </c>
      <c r="AV74">
        <v>4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2</v>
      </c>
      <c r="BN74">
        <v>0</v>
      </c>
      <c r="BO74">
        <v>0</v>
      </c>
      <c r="BP74">
        <v>1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1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2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1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1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1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2</v>
      </c>
      <c r="IU74">
        <v>0</v>
      </c>
      <c r="IV74">
        <v>0</v>
      </c>
      <c r="IW74">
        <v>0</v>
      </c>
      <c r="IX74">
        <v>0</v>
      </c>
      <c r="IY74">
        <v>4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1</v>
      </c>
      <c r="JG74">
        <v>0</v>
      </c>
      <c r="JH74">
        <v>1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1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1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1</v>
      </c>
      <c r="LW74">
        <v>0</v>
      </c>
      <c r="LX74">
        <v>2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1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1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1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</row>
    <row r="75" spans="1:467" x14ac:dyDescent="0.4">
      <c r="A75" t="str">
        <f>"9784088818313"</f>
        <v>9784088818313</v>
      </c>
      <c r="B75" t="str">
        <f>"4088818318"</f>
        <v>4088818318</v>
      </c>
      <c r="C75" t="s">
        <v>2010</v>
      </c>
      <c r="D75" t="s">
        <v>1853</v>
      </c>
      <c r="E75" t="s">
        <v>536</v>
      </c>
      <c r="F75" t="s">
        <v>1854</v>
      </c>
      <c r="G75" t="str">
        <f>"9979"</f>
        <v>9979</v>
      </c>
      <c r="H75" t="s">
        <v>1855</v>
      </c>
      <c r="I75" t="s">
        <v>1856</v>
      </c>
      <c r="J75" t="s">
        <v>1856</v>
      </c>
      <c r="L75" s="1">
        <v>43587</v>
      </c>
      <c r="M75">
        <v>440</v>
      </c>
      <c r="N75">
        <v>31</v>
      </c>
      <c r="O75">
        <v>25</v>
      </c>
      <c r="P75">
        <v>31</v>
      </c>
      <c r="Q75">
        <v>25</v>
      </c>
      <c r="R75">
        <v>0</v>
      </c>
      <c r="S75">
        <v>0</v>
      </c>
      <c r="T75">
        <v>0</v>
      </c>
      <c r="U75">
        <v>0</v>
      </c>
      <c r="V75">
        <v>0</v>
      </c>
      <c r="W75">
        <v>1</v>
      </c>
      <c r="X75">
        <v>0</v>
      </c>
      <c r="Y75">
        <v>0</v>
      </c>
      <c r="Z75">
        <v>0</v>
      </c>
      <c r="AA75">
        <v>1</v>
      </c>
      <c r="AB75">
        <v>0</v>
      </c>
      <c r="AC75">
        <v>0</v>
      </c>
      <c r="AD75">
        <v>0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1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1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1</v>
      </c>
      <c r="CI75">
        <v>1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1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1</v>
      </c>
      <c r="EF75">
        <v>1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1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1</v>
      </c>
      <c r="FB75">
        <v>0</v>
      </c>
      <c r="FC75">
        <v>0</v>
      </c>
      <c r="FD75">
        <v>0</v>
      </c>
      <c r="FE75">
        <v>1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5</v>
      </c>
      <c r="FU75">
        <v>0</v>
      </c>
      <c r="FV75">
        <v>0</v>
      </c>
      <c r="FW75">
        <v>0</v>
      </c>
      <c r="FX75">
        <v>0</v>
      </c>
      <c r="FY75">
        <v>1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1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1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1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1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2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1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1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1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1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2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</row>
    <row r="76" spans="1:467" x14ac:dyDescent="0.4">
      <c r="A76" t="str">
        <f>"9784065304785"</f>
        <v>9784065304785</v>
      </c>
      <c r="B76" t="str">
        <f>"4065304784"</f>
        <v>4065304784</v>
      </c>
      <c r="C76" t="s">
        <v>2011</v>
      </c>
      <c r="D76" t="s">
        <v>2012</v>
      </c>
      <c r="E76" t="s">
        <v>548</v>
      </c>
      <c r="F76" t="s">
        <v>2013</v>
      </c>
      <c r="G76" t="str">
        <f>"9979"</f>
        <v>9979</v>
      </c>
      <c r="H76" t="s">
        <v>1855</v>
      </c>
      <c r="I76" t="s">
        <v>1856</v>
      </c>
      <c r="J76" t="s">
        <v>1856</v>
      </c>
      <c r="L76" s="1">
        <v>44949</v>
      </c>
      <c r="M76">
        <v>650</v>
      </c>
      <c r="N76">
        <v>31</v>
      </c>
      <c r="O76">
        <v>24</v>
      </c>
      <c r="P76">
        <v>31</v>
      </c>
      <c r="Q76">
        <v>24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5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1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1</v>
      </c>
      <c r="DZ76">
        <v>0</v>
      </c>
      <c r="EA76">
        <v>1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1</v>
      </c>
      <c r="FW76">
        <v>0</v>
      </c>
      <c r="FX76">
        <v>0</v>
      </c>
      <c r="FY76">
        <v>0</v>
      </c>
      <c r="FZ76">
        <v>2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2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1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1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2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1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1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1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1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1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1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1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1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0</v>
      </c>
      <c r="QP76">
        <v>0</v>
      </c>
      <c r="QQ76">
        <v>0</v>
      </c>
      <c r="QR76">
        <v>0</v>
      </c>
      <c r="QS76">
        <v>0</v>
      </c>
      <c r="QT76">
        <v>1</v>
      </c>
      <c r="QU76">
        <v>0</v>
      </c>
      <c r="QV76">
        <v>0</v>
      </c>
      <c r="QW76">
        <v>0</v>
      </c>
      <c r="QX76">
        <v>0</v>
      </c>
      <c r="QY76">
        <v>0</v>
      </c>
    </row>
    <row r="77" spans="1:467" hidden="1" x14ac:dyDescent="0.4">
      <c r="A77" t="str">
        <f>"9784818431195"</f>
        <v>9784818431195</v>
      </c>
      <c r="B77" t="str">
        <f>"4818431192"</f>
        <v>4818431192</v>
      </c>
      <c r="C77" t="s">
        <v>2014</v>
      </c>
      <c r="D77" t="s">
        <v>2015</v>
      </c>
      <c r="E77" t="s">
        <v>2016</v>
      </c>
      <c r="G77" t="str">
        <f>"8073"</f>
        <v>8073</v>
      </c>
      <c r="H77" t="s">
        <v>1923</v>
      </c>
      <c r="I77" t="s">
        <v>1893</v>
      </c>
      <c r="J77" t="s">
        <v>794</v>
      </c>
      <c r="L77" s="1">
        <v>37591</v>
      </c>
      <c r="M77">
        <v>760</v>
      </c>
      <c r="N77">
        <v>30</v>
      </c>
      <c r="O77">
        <v>1</v>
      </c>
      <c r="P77">
        <v>30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30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</row>
    <row r="78" spans="1:467" hidden="1" x14ac:dyDescent="0.4">
      <c r="A78" t="str">
        <f>"9784103341949"</f>
        <v>9784103341949</v>
      </c>
      <c r="B78" t="str">
        <f>"4103341947"</f>
        <v>4103341947</v>
      </c>
      <c r="C78" t="s">
        <v>2017</v>
      </c>
      <c r="D78" t="s">
        <v>2018</v>
      </c>
      <c r="E78" t="s">
        <v>516</v>
      </c>
      <c r="G78" t="str">
        <f>"0093"</f>
        <v>0093</v>
      </c>
      <c r="H78" t="s">
        <v>481</v>
      </c>
      <c r="I78" t="s">
        <v>1893</v>
      </c>
      <c r="J78" t="s">
        <v>488</v>
      </c>
      <c r="L78" s="1">
        <v>44833</v>
      </c>
      <c r="M78">
        <v>1700</v>
      </c>
      <c r="N78">
        <v>30</v>
      </c>
      <c r="O78">
        <v>26</v>
      </c>
      <c r="P78">
        <v>30</v>
      </c>
      <c r="Q78">
        <v>26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1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3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1</v>
      </c>
      <c r="DC78">
        <v>1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1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1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1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1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1</v>
      </c>
      <c r="GV78">
        <v>0</v>
      </c>
      <c r="GW78">
        <v>1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1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3</v>
      </c>
      <c r="JN78">
        <v>0</v>
      </c>
      <c r="JO78">
        <v>0</v>
      </c>
      <c r="JP78">
        <v>0</v>
      </c>
      <c r="JQ78">
        <v>0</v>
      </c>
      <c r="JR78">
        <v>1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1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1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1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1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1</v>
      </c>
      <c r="OT78">
        <v>1</v>
      </c>
      <c r="OU78">
        <v>0</v>
      </c>
      <c r="OV78">
        <v>0</v>
      </c>
      <c r="OW78">
        <v>1</v>
      </c>
      <c r="OX78">
        <v>0</v>
      </c>
      <c r="OY78">
        <v>0</v>
      </c>
      <c r="OZ78">
        <v>0</v>
      </c>
      <c r="PA78">
        <v>0</v>
      </c>
      <c r="PB78">
        <v>1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1</v>
      </c>
      <c r="PU78">
        <v>0</v>
      </c>
      <c r="PV78">
        <v>0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</row>
    <row r="79" spans="1:467" x14ac:dyDescent="0.4">
      <c r="A79" t="str">
        <f>"9784065302064"</f>
        <v>9784065302064</v>
      </c>
      <c r="B79" t="str">
        <f>"4065302064"</f>
        <v>4065302064</v>
      </c>
      <c r="C79" t="s">
        <v>2019</v>
      </c>
      <c r="D79" t="s">
        <v>2020</v>
      </c>
      <c r="E79" t="s">
        <v>548</v>
      </c>
      <c r="F79" t="s">
        <v>2021</v>
      </c>
      <c r="G79" t="str">
        <f>"9979"</f>
        <v>9979</v>
      </c>
      <c r="H79" t="s">
        <v>1855</v>
      </c>
      <c r="I79" t="s">
        <v>1856</v>
      </c>
      <c r="J79" t="s">
        <v>1856</v>
      </c>
      <c r="L79" s="1">
        <v>44908</v>
      </c>
      <c r="M79">
        <v>500</v>
      </c>
      <c r="N79">
        <v>30</v>
      </c>
      <c r="O79">
        <v>28</v>
      </c>
      <c r="P79">
        <v>30</v>
      </c>
      <c r="Q79">
        <v>28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1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1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1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1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1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1</v>
      </c>
      <c r="HF79">
        <v>1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1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1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1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1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1</v>
      </c>
      <c r="IU79">
        <v>0</v>
      </c>
      <c r="IV79">
        <v>0</v>
      </c>
      <c r="IW79">
        <v>0</v>
      </c>
      <c r="IX79">
        <v>0</v>
      </c>
      <c r="IY79">
        <v>1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1</v>
      </c>
      <c r="JQ79">
        <v>0</v>
      </c>
      <c r="JR79">
        <v>1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2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1</v>
      </c>
      <c r="LD79">
        <v>0</v>
      </c>
      <c r="LE79">
        <v>0</v>
      </c>
      <c r="LF79">
        <v>1</v>
      </c>
      <c r="LG79">
        <v>0</v>
      </c>
      <c r="LH79">
        <v>0</v>
      </c>
      <c r="LI79">
        <v>0</v>
      </c>
      <c r="LJ79">
        <v>1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1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1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2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</row>
    <row r="80" spans="1:467" hidden="1" x14ac:dyDescent="0.4">
      <c r="A80" t="str">
        <f>"9784046047991"</f>
        <v>9784046047991</v>
      </c>
      <c r="B80" t="str">
        <f>"4046047992"</f>
        <v>4046047992</v>
      </c>
      <c r="C80" t="s">
        <v>2022</v>
      </c>
      <c r="D80" t="s">
        <v>2023</v>
      </c>
      <c r="E80" t="s">
        <v>597</v>
      </c>
      <c r="G80" t="str">
        <f>"0095"</f>
        <v>0095</v>
      </c>
      <c r="H80" t="s">
        <v>481</v>
      </c>
      <c r="I80" t="s">
        <v>1893</v>
      </c>
      <c r="J80" t="s">
        <v>509</v>
      </c>
      <c r="L80" s="1">
        <v>44093</v>
      </c>
      <c r="M80">
        <v>1300</v>
      </c>
      <c r="N80">
        <v>30</v>
      </c>
      <c r="O80">
        <v>23</v>
      </c>
      <c r="P80">
        <v>30</v>
      </c>
      <c r="Q80">
        <v>23</v>
      </c>
      <c r="R80">
        <v>0</v>
      </c>
      <c r="S80">
        <v>1</v>
      </c>
      <c r="T80">
        <v>0</v>
      </c>
      <c r="U80">
        <v>0</v>
      </c>
      <c r="V80">
        <v>0</v>
      </c>
      <c r="W80">
        <v>3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1</v>
      </c>
      <c r="BE80">
        <v>0</v>
      </c>
      <c r="BF80">
        <v>0</v>
      </c>
      <c r="BG80">
        <v>1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1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1</v>
      </c>
      <c r="IG80">
        <v>0</v>
      </c>
      <c r="IH80">
        <v>1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3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1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1</v>
      </c>
      <c r="JN80">
        <v>0</v>
      </c>
      <c r="JO80">
        <v>0</v>
      </c>
      <c r="JP80">
        <v>1</v>
      </c>
      <c r="JQ80">
        <v>0</v>
      </c>
      <c r="JR80">
        <v>1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3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1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2</v>
      </c>
      <c r="MW80">
        <v>0</v>
      </c>
      <c r="MX80">
        <v>0</v>
      </c>
      <c r="MY80">
        <v>0</v>
      </c>
      <c r="MZ80">
        <v>1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1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1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1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1</v>
      </c>
      <c r="OT80">
        <v>1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0</v>
      </c>
      <c r="PI80">
        <v>1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0</v>
      </c>
      <c r="PV80">
        <v>0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1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</row>
    <row r="81" spans="1:467" x14ac:dyDescent="0.4">
      <c r="A81" t="str">
        <f>"9784088817804"</f>
        <v>9784088817804</v>
      </c>
      <c r="B81" t="str">
        <f>"408881780X"</f>
        <v>408881780X</v>
      </c>
      <c r="C81" t="s">
        <v>2024</v>
      </c>
      <c r="D81" t="s">
        <v>1853</v>
      </c>
      <c r="E81" t="s">
        <v>536</v>
      </c>
      <c r="F81" t="s">
        <v>1854</v>
      </c>
      <c r="G81" t="str">
        <f>"9979"</f>
        <v>9979</v>
      </c>
      <c r="H81" t="s">
        <v>1855</v>
      </c>
      <c r="I81" t="s">
        <v>1856</v>
      </c>
      <c r="J81" t="s">
        <v>1856</v>
      </c>
      <c r="L81" s="1">
        <v>43528</v>
      </c>
      <c r="M81">
        <v>440</v>
      </c>
      <c r="N81">
        <v>29</v>
      </c>
      <c r="O81">
        <v>23</v>
      </c>
      <c r="P81">
        <v>29</v>
      </c>
      <c r="Q81">
        <v>23</v>
      </c>
      <c r="R81">
        <v>0</v>
      </c>
      <c r="S81">
        <v>0</v>
      </c>
      <c r="T81">
        <v>0</v>
      </c>
      <c r="U81">
        <v>0</v>
      </c>
      <c r="V81">
        <v>0</v>
      </c>
      <c r="W81">
        <v>1</v>
      </c>
      <c r="X81">
        <v>0</v>
      </c>
      <c r="Y81">
        <v>0</v>
      </c>
      <c r="Z81">
        <v>0</v>
      </c>
      <c r="AA81">
        <v>1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1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1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1</v>
      </c>
      <c r="EF81">
        <v>1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1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1</v>
      </c>
      <c r="FB81">
        <v>0</v>
      </c>
      <c r="FC81">
        <v>0</v>
      </c>
      <c r="FD81">
        <v>0</v>
      </c>
      <c r="FE81">
        <v>1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5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1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1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1</v>
      </c>
      <c r="HV81">
        <v>1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1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2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1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1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1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1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1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</row>
    <row r="82" spans="1:467" x14ac:dyDescent="0.4">
      <c r="A82" t="str">
        <f>"9784088833439"</f>
        <v>9784088833439</v>
      </c>
      <c r="B82" t="str">
        <f>"4088833430"</f>
        <v>4088833430</v>
      </c>
      <c r="C82" t="s">
        <v>2025</v>
      </c>
      <c r="D82" t="s">
        <v>2026</v>
      </c>
      <c r="E82" t="s">
        <v>536</v>
      </c>
      <c r="F82" t="s">
        <v>1971</v>
      </c>
      <c r="G82" t="str">
        <f>"9979"</f>
        <v>9979</v>
      </c>
      <c r="H82" t="s">
        <v>1855</v>
      </c>
      <c r="I82" t="s">
        <v>1856</v>
      </c>
      <c r="J82" t="s">
        <v>1856</v>
      </c>
      <c r="L82" s="1">
        <v>44930</v>
      </c>
      <c r="M82">
        <v>520</v>
      </c>
      <c r="N82">
        <v>29</v>
      </c>
      <c r="O82">
        <v>21</v>
      </c>
      <c r="P82">
        <v>29</v>
      </c>
      <c r="Q82">
        <v>21</v>
      </c>
      <c r="R82">
        <v>0</v>
      </c>
      <c r="S82">
        <v>0</v>
      </c>
      <c r="T82">
        <v>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1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1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1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1</v>
      </c>
      <c r="HL82">
        <v>0</v>
      </c>
      <c r="HM82">
        <v>0</v>
      </c>
      <c r="HN82">
        <v>0</v>
      </c>
      <c r="HO82">
        <v>0</v>
      </c>
      <c r="HP82">
        <v>1</v>
      </c>
      <c r="HQ82">
        <v>0</v>
      </c>
      <c r="HR82">
        <v>0</v>
      </c>
      <c r="HS82">
        <v>0</v>
      </c>
      <c r="HT82">
        <v>0</v>
      </c>
      <c r="HU82">
        <v>2</v>
      </c>
      <c r="HV82">
        <v>2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1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1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1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3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2</v>
      </c>
      <c r="JR82">
        <v>1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1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1</v>
      </c>
      <c r="LW82">
        <v>0</v>
      </c>
      <c r="LX82">
        <v>1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1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2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</row>
    <row r="83" spans="1:467" hidden="1" x14ac:dyDescent="0.4">
      <c r="A83" t="str">
        <f>"9784776212188"</f>
        <v>9784776212188</v>
      </c>
      <c r="B83" t="str">
        <f>"4776212188"</f>
        <v>4776212188</v>
      </c>
      <c r="C83" t="s">
        <v>2027</v>
      </c>
      <c r="D83" t="s">
        <v>2028</v>
      </c>
      <c r="E83" t="s">
        <v>2029</v>
      </c>
      <c r="G83" t="str">
        <f>"0077"</f>
        <v>0077</v>
      </c>
      <c r="H83" t="s">
        <v>481</v>
      </c>
      <c r="I83" t="s">
        <v>1893</v>
      </c>
      <c r="J83" t="s">
        <v>1006</v>
      </c>
      <c r="L83" s="1">
        <v>44830</v>
      </c>
      <c r="M83">
        <v>1450</v>
      </c>
      <c r="N83">
        <v>29</v>
      </c>
      <c r="O83">
        <v>21</v>
      </c>
      <c r="P83">
        <v>29</v>
      </c>
      <c r="Q83">
        <v>21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1</v>
      </c>
      <c r="BF83">
        <v>0</v>
      </c>
      <c r="BG83">
        <v>1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1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1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1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1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1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1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1</v>
      </c>
      <c r="IU83">
        <v>0</v>
      </c>
      <c r="IV83">
        <v>1</v>
      </c>
      <c r="IW83">
        <v>5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2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2</v>
      </c>
      <c r="JN83">
        <v>0</v>
      </c>
      <c r="JO83">
        <v>0</v>
      </c>
      <c r="JP83">
        <v>0</v>
      </c>
      <c r="JQ83">
        <v>1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1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1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1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2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1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2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1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</row>
    <row r="84" spans="1:467" hidden="1" x14ac:dyDescent="0.4">
      <c r="A84" t="str">
        <f>"9784041125892"</f>
        <v>9784041125892</v>
      </c>
      <c r="B84" t="str">
        <f>"4041125898"</f>
        <v>4041125898</v>
      </c>
      <c r="C84" t="s">
        <v>2030</v>
      </c>
      <c r="D84" t="s">
        <v>2031</v>
      </c>
      <c r="E84" t="s">
        <v>597</v>
      </c>
      <c r="G84" t="str">
        <f>"0093"</f>
        <v>0093</v>
      </c>
      <c r="H84" t="s">
        <v>481</v>
      </c>
      <c r="I84" t="s">
        <v>1893</v>
      </c>
      <c r="J84" t="s">
        <v>488</v>
      </c>
      <c r="L84" s="1">
        <v>44953</v>
      </c>
      <c r="M84">
        <v>1650</v>
      </c>
      <c r="N84">
        <v>29</v>
      </c>
      <c r="O84">
        <v>3</v>
      </c>
      <c r="P84">
        <v>29</v>
      </c>
      <c r="Q84">
        <v>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16</v>
      </c>
      <c r="CI84">
        <v>12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1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</row>
    <row r="85" spans="1:467" x14ac:dyDescent="0.4">
      <c r="A85" t="str">
        <f>"9784065303214"</f>
        <v>9784065303214</v>
      </c>
      <c r="B85" t="str">
        <f>"4065303214"</f>
        <v>4065303214</v>
      </c>
      <c r="C85" t="s">
        <v>2032</v>
      </c>
      <c r="D85" t="s">
        <v>2033</v>
      </c>
      <c r="E85" t="s">
        <v>548</v>
      </c>
      <c r="F85" t="s">
        <v>2034</v>
      </c>
      <c r="G85" t="str">
        <f>"9979"</f>
        <v>9979</v>
      </c>
      <c r="H85" t="s">
        <v>1855</v>
      </c>
      <c r="I85" t="s">
        <v>1856</v>
      </c>
      <c r="J85" t="s">
        <v>1856</v>
      </c>
      <c r="L85" s="1">
        <v>44943</v>
      </c>
      <c r="M85">
        <v>930</v>
      </c>
      <c r="N85">
        <v>29</v>
      </c>
      <c r="O85">
        <v>24</v>
      </c>
      <c r="P85">
        <v>29</v>
      </c>
      <c r="Q85">
        <v>24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2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1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1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1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1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1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1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1</v>
      </c>
      <c r="IU85">
        <v>0</v>
      </c>
      <c r="IV85">
        <v>1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1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1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3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1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1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1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1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1</v>
      </c>
      <c r="ON85">
        <v>0</v>
      </c>
      <c r="OO85">
        <v>1</v>
      </c>
      <c r="OP85">
        <v>0</v>
      </c>
      <c r="OQ85">
        <v>0</v>
      </c>
      <c r="OR85">
        <v>0</v>
      </c>
      <c r="OS85">
        <v>0</v>
      </c>
      <c r="OT85">
        <v>2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  <c r="PG85">
        <v>0</v>
      </c>
      <c r="PH85">
        <v>0</v>
      </c>
      <c r="PI85">
        <v>0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0</v>
      </c>
      <c r="PT85">
        <v>0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</row>
    <row r="86" spans="1:467" hidden="1" x14ac:dyDescent="0.4">
      <c r="A86" t="str">
        <f>"9784140819272"</f>
        <v>9784140819272</v>
      </c>
      <c r="B86" t="str">
        <f>"4140819278"</f>
        <v>4140819278</v>
      </c>
      <c r="C86" t="s">
        <v>2035</v>
      </c>
      <c r="D86" t="s">
        <v>2036</v>
      </c>
      <c r="E86" t="s">
        <v>480</v>
      </c>
      <c r="G86" t="str">
        <f>"0098"</f>
        <v>0098</v>
      </c>
      <c r="H86" t="s">
        <v>481</v>
      </c>
      <c r="I86" t="s">
        <v>1893</v>
      </c>
      <c r="J86" t="s">
        <v>1894</v>
      </c>
      <c r="L86" s="1">
        <v>44921</v>
      </c>
      <c r="M86">
        <v>2700</v>
      </c>
      <c r="N86">
        <v>28</v>
      </c>
      <c r="O86">
        <v>19</v>
      </c>
      <c r="P86">
        <v>28</v>
      </c>
      <c r="Q86">
        <v>19</v>
      </c>
      <c r="R86">
        <v>0</v>
      </c>
      <c r="S86">
        <v>0</v>
      </c>
      <c r="T86">
        <v>0</v>
      </c>
      <c r="U86">
        <v>0</v>
      </c>
      <c r="V86">
        <v>0</v>
      </c>
      <c r="W86">
        <v>1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1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4</v>
      </c>
      <c r="CI86">
        <v>1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2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1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1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1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2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1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2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1</v>
      </c>
      <c r="JX86">
        <v>0</v>
      </c>
      <c r="JY86">
        <v>0</v>
      </c>
      <c r="JZ86">
        <v>0</v>
      </c>
      <c r="KA86">
        <v>0</v>
      </c>
      <c r="KB86">
        <v>2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1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1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2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</row>
    <row r="87" spans="1:467" hidden="1" x14ac:dyDescent="0.4">
      <c r="A87" t="str">
        <f>"9784163916125"</f>
        <v>9784163916125</v>
      </c>
      <c r="B87" t="str">
        <f>"4163916121"</f>
        <v>4163916121</v>
      </c>
      <c r="C87" t="s">
        <v>2037</v>
      </c>
      <c r="D87" t="s">
        <v>1583</v>
      </c>
      <c r="E87" t="s">
        <v>639</v>
      </c>
      <c r="G87" t="str">
        <f>"0098"</f>
        <v>0098</v>
      </c>
      <c r="H87" t="s">
        <v>481</v>
      </c>
      <c r="I87" t="s">
        <v>1893</v>
      </c>
      <c r="J87" t="s">
        <v>1894</v>
      </c>
      <c r="L87" s="1">
        <v>44859</v>
      </c>
      <c r="M87">
        <v>2200</v>
      </c>
      <c r="N87">
        <v>28</v>
      </c>
      <c r="O87">
        <v>24</v>
      </c>
      <c r="P87">
        <v>28</v>
      </c>
      <c r="Q87">
        <v>24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1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2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1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1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1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1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2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1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1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1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1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1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1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2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1</v>
      </c>
      <c r="ND87">
        <v>0</v>
      </c>
      <c r="NE87">
        <v>1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1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1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0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0</v>
      </c>
      <c r="PV87">
        <v>0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1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</row>
    <row r="88" spans="1:467" hidden="1" x14ac:dyDescent="0.4">
      <c r="A88" t="str">
        <f>"9784794971302"</f>
        <v>9784794971302</v>
      </c>
      <c r="B88" t="str">
        <f>"4794971303"</f>
        <v>4794971303</v>
      </c>
      <c r="C88" t="s">
        <v>2038</v>
      </c>
      <c r="D88" t="s">
        <v>2039</v>
      </c>
      <c r="E88" t="s">
        <v>2040</v>
      </c>
      <c r="G88" t="str">
        <f>"0395"</f>
        <v>0395</v>
      </c>
      <c r="H88" t="s">
        <v>481</v>
      </c>
      <c r="I88" t="s">
        <v>1877</v>
      </c>
      <c r="J88" t="s">
        <v>509</v>
      </c>
      <c r="L88" s="1">
        <v>44922</v>
      </c>
      <c r="M88">
        <v>6900</v>
      </c>
      <c r="N88">
        <v>28</v>
      </c>
      <c r="O88">
        <v>23</v>
      </c>
      <c r="P88">
        <v>28</v>
      </c>
      <c r="Q88">
        <v>23</v>
      </c>
      <c r="R88">
        <v>0</v>
      </c>
      <c r="S88">
        <v>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1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1</v>
      </c>
      <c r="CI88">
        <v>1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3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1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2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1</v>
      </c>
      <c r="FE88">
        <v>0</v>
      </c>
      <c r="FF88">
        <v>0</v>
      </c>
      <c r="FG88">
        <v>0</v>
      </c>
      <c r="FH88">
        <v>1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1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1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1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1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2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2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1</v>
      </c>
      <c r="LP88">
        <v>1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1</v>
      </c>
      <c r="MU88">
        <v>0</v>
      </c>
      <c r="MV88">
        <v>1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1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0</v>
      </c>
      <c r="PT88">
        <v>0</v>
      </c>
      <c r="PU88">
        <v>0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</v>
      </c>
      <c r="QH88">
        <v>1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</row>
    <row r="89" spans="1:467" x14ac:dyDescent="0.4">
      <c r="A89" t="str">
        <f>"9784088833651"</f>
        <v>9784088833651</v>
      </c>
      <c r="B89" t="str">
        <f>"4088833651"</f>
        <v>4088833651</v>
      </c>
      <c r="C89" t="s">
        <v>2041</v>
      </c>
      <c r="D89" t="s">
        <v>2042</v>
      </c>
      <c r="E89" t="s">
        <v>536</v>
      </c>
      <c r="F89" t="s">
        <v>1854</v>
      </c>
      <c r="G89" t="str">
        <f>"9979"</f>
        <v>9979</v>
      </c>
      <c r="H89" t="s">
        <v>1855</v>
      </c>
      <c r="I89" t="s">
        <v>1856</v>
      </c>
      <c r="J89" t="s">
        <v>1856</v>
      </c>
      <c r="L89" s="1">
        <v>44867</v>
      </c>
      <c r="M89">
        <v>480</v>
      </c>
      <c r="N89">
        <v>28</v>
      </c>
      <c r="O89">
        <v>18</v>
      </c>
      <c r="P89">
        <v>28</v>
      </c>
      <c r="Q89">
        <v>18</v>
      </c>
      <c r="R89">
        <v>0</v>
      </c>
      <c r="S89">
        <v>0</v>
      </c>
      <c r="T89">
        <v>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1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2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1</v>
      </c>
      <c r="DF89">
        <v>1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1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1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1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0</v>
      </c>
      <c r="HH89">
        <v>1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6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1</v>
      </c>
      <c r="IM89">
        <v>0</v>
      </c>
      <c r="IN89">
        <v>0</v>
      </c>
      <c r="IO89">
        <v>0</v>
      </c>
      <c r="IP89">
        <v>0</v>
      </c>
      <c r="IQ89">
        <v>1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1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2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2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</v>
      </c>
      <c r="PV89">
        <v>0</v>
      </c>
      <c r="PW89">
        <v>0</v>
      </c>
      <c r="PX89">
        <v>0</v>
      </c>
      <c r="PY89">
        <v>0</v>
      </c>
      <c r="PZ89">
        <v>0</v>
      </c>
      <c r="QA89">
        <v>0</v>
      </c>
      <c r="QB89">
        <v>1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</row>
    <row r="90" spans="1:467" x14ac:dyDescent="0.4">
      <c r="A90" t="str">
        <f>"9784088833545"</f>
        <v>9784088833545</v>
      </c>
      <c r="B90" t="str">
        <f>"4088833546"</f>
        <v>4088833546</v>
      </c>
      <c r="C90" t="s">
        <v>2043</v>
      </c>
      <c r="D90" t="s">
        <v>2044</v>
      </c>
      <c r="E90" t="s">
        <v>536</v>
      </c>
      <c r="F90" t="s">
        <v>1854</v>
      </c>
      <c r="G90" t="str">
        <f>"9979"</f>
        <v>9979</v>
      </c>
      <c r="H90" t="s">
        <v>1855</v>
      </c>
      <c r="I90" t="s">
        <v>1856</v>
      </c>
      <c r="J90" t="s">
        <v>1856</v>
      </c>
      <c r="L90" s="1">
        <v>44914</v>
      </c>
      <c r="M90">
        <v>480</v>
      </c>
      <c r="N90">
        <v>27</v>
      </c>
      <c r="O90">
        <v>19</v>
      </c>
      <c r="P90">
        <v>27</v>
      </c>
      <c r="Q90">
        <v>19</v>
      </c>
      <c r="R90">
        <v>0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2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3</v>
      </c>
      <c r="BC90">
        <v>0</v>
      </c>
      <c r="BD90">
        <v>0</v>
      </c>
      <c r="BE90">
        <v>0</v>
      </c>
      <c r="BF90">
        <v>0</v>
      </c>
      <c r="BG90">
        <v>1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1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1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1</v>
      </c>
      <c r="GL90">
        <v>0</v>
      </c>
      <c r="GM90">
        <v>0</v>
      </c>
      <c r="GN90">
        <v>1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1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1</v>
      </c>
      <c r="IU90">
        <v>0</v>
      </c>
      <c r="IV90">
        <v>2</v>
      </c>
      <c r="IW90">
        <v>1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4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1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</v>
      </c>
      <c r="NY90">
        <v>0</v>
      </c>
      <c r="NZ90">
        <v>0</v>
      </c>
      <c r="OA90">
        <v>0</v>
      </c>
      <c r="OB90">
        <v>0</v>
      </c>
      <c r="OC90">
        <v>0</v>
      </c>
      <c r="OD90">
        <v>0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1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1</v>
      </c>
      <c r="QU90">
        <v>0</v>
      </c>
      <c r="QV90">
        <v>0</v>
      </c>
      <c r="QW90">
        <v>0</v>
      </c>
      <c r="QX90">
        <v>0</v>
      </c>
      <c r="QY90">
        <v>0</v>
      </c>
    </row>
    <row r="91" spans="1:467" x14ac:dyDescent="0.4">
      <c r="A91" t="str">
        <f>"9784757583627"</f>
        <v>9784757583627</v>
      </c>
      <c r="B91" t="str">
        <f>"4757583621"</f>
        <v>4757583621</v>
      </c>
      <c r="C91" t="s">
        <v>2045</v>
      </c>
      <c r="D91" t="s">
        <v>2046</v>
      </c>
      <c r="E91" t="s">
        <v>2047</v>
      </c>
      <c r="F91" t="s">
        <v>2048</v>
      </c>
      <c r="G91" t="str">
        <f>"9979"</f>
        <v>9979</v>
      </c>
      <c r="H91" t="s">
        <v>1855</v>
      </c>
      <c r="I91" t="s">
        <v>1856</v>
      </c>
      <c r="J91" t="s">
        <v>1856</v>
      </c>
      <c r="L91" s="1">
        <v>44951</v>
      </c>
      <c r="M91">
        <v>664</v>
      </c>
      <c r="N91">
        <v>27</v>
      </c>
      <c r="O91">
        <v>18</v>
      </c>
      <c r="P91">
        <v>27</v>
      </c>
      <c r="Q91">
        <v>18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3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2</v>
      </c>
      <c r="BH91">
        <v>0</v>
      </c>
      <c r="BI91">
        <v>3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1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1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1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1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1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1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1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2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1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3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1</v>
      </c>
      <c r="NA91">
        <v>0</v>
      </c>
      <c r="NB91">
        <v>0</v>
      </c>
      <c r="NC91">
        <v>0</v>
      </c>
      <c r="ND91">
        <v>0</v>
      </c>
      <c r="NE91">
        <v>1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2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1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</row>
    <row r="92" spans="1:467" hidden="1" x14ac:dyDescent="0.4">
      <c r="A92" t="str">
        <f>"9784065281499"</f>
        <v>9784065281499</v>
      </c>
      <c r="B92" t="str">
        <f>"4065281490"</f>
        <v>4065281490</v>
      </c>
      <c r="C92" t="s">
        <v>2049</v>
      </c>
      <c r="D92" t="s">
        <v>1173</v>
      </c>
      <c r="E92" t="s">
        <v>548</v>
      </c>
      <c r="G92" t="str">
        <f>"0093"</f>
        <v>0093</v>
      </c>
      <c r="H92" t="s">
        <v>481</v>
      </c>
      <c r="I92" t="s">
        <v>1893</v>
      </c>
      <c r="J92" t="s">
        <v>488</v>
      </c>
      <c r="L92" s="1">
        <v>44776</v>
      </c>
      <c r="M92">
        <v>1600</v>
      </c>
      <c r="N92">
        <v>27</v>
      </c>
      <c r="O92">
        <v>19</v>
      </c>
      <c r="P92">
        <v>27</v>
      </c>
      <c r="Q92">
        <v>19</v>
      </c>
      <c r="R92">
        <v>0</v>
      </c>
      <c r="S92">
        <v>0</v>
      </c>
      <c r="T92">
        <v>0</v>
      </c>
      <c r="U92">
        <v>0</v>
      </c>
      <c r="V92">
        <v>0</v>
      </c>
      <c r="W92">
        <v>1</v>
      </c>
      <c r="X92">
        <v>0</v>
      </c>
      <c r="Y92">
        <v>0</v>
      </c>
      <c r="Z92">
        <v>0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1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1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1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3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1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4</v>
      </c>
      <c r="JN92">
        <v>0</v>
      </c>
      <c r="JO92">
        <v>0</v>
      </c>
      <c r="JP92">
        <v>0</v>
      </c>
      <c r="JQ92">
        <v>1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4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1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1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1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0</v>
      </c>
      <c r="PT92">
        <v>1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1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1</v>
      </c>
      <c r="QR92">
        <v>1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</row>
    <row r="93" spans="1:467" x14ac:dyDescent="0.4">
      <c r="A93" t="str">
        <f>"9784088831671"</f>
        <v>9784088831671</v>
      </c>
      <c r="B93" t="str">
        <f>"4088831675"</f>
        <v>4088831675</v>
      </c>
      <c r="C93" t="s">
        <v>2050</v>
      </c>
      <c r="D93" t="s">
        <v>1853</v>
      </c>
      <c r="E93" t="s">
        <v>536</v>
      </c>
      <c r="F93" t="s">
        <v>1935</v>
      </c>
      <c r="G93" t="str">
        <f t="shared" ref="G93:G99" si="2">"9979"</f>
        <v>9979</v>
      </c>
      <c r="H93" t="s">
        <v>1855</v>
      </c>
      <c r="I93" t="s">
        <v>1856</v>
      </c>
      <c r="J93" t="s">
        <v>1856</v>
      </c>
      <c r="L93" s="1">
        <v>44746</v>
      </c>
      <c r="M93">
        <v>440</v>
      </c>
      <c r="N93">
        <v>26</v>
      </c>
      <c r="O93">
        <v>16</v>
      </c>
      <c r="P93">
        <v>26</v>
      </c>
      <c r="Q93">
        <v>16</v>
      </c>
      <c r="R93">
        <v>0</v>
      </c>
      <c r="S93">
        <v>0</v>
      </c>
      <c r="T93">
        <v>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1</v>
      </c>
      <c r="CI93">
        <v>3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1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2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1</v>
      </c>
      <c r="EE93">
        <v>0</v>
      </c>
      <c r="EF93">
        <v>0</v>
      </c>
      <c r="EG93">
        <v>1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2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1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1</v>
      </c>
      <c r="JR93">
        <v>3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1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1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1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2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</row>
    <row r="94" spans="1:467" x14ac:dyDescent="0.4">
      <c r="A94" t="str">
        <f>"9784065291351"</f>
        <v>9784065291351</v>
      </c>
      <c r="B94" t="str">
        <f>"4065291356"</f>
        <v>4065291356</v>
      </c>
      <c r="C94" t="s">
        <v>2051</v>
      </c>
      <c r="D94" t="s">
        <v>2052</v>
      </c>
      <c r="E94" t="s">
        <v>548</v>
      </c>
      <c r="F94" t="s">
        <v>1862</v>
      </c>
      <c r="G94" t="str">
        <f t="shared" si="2"/>
        <v>9979</v>
      </c>
      <c r="H94" t="s">
        <v>1855</v>
      </c>
      <c r="I94" t="s">
        <v>1856</v>
      </c>
      <c r="J94" t="s">
        <v>1856</v>
      </c>
      <c r="L94" s="1">
        <v>44911</v>
      </c>
      <c r="M94">
        <v>480</v>
      </c>
      <c r="N94">
        <v>26</v>
      </c>
      <c r="O94">
        <v>21</v>
      </c>
      <c r="P94">
        <v>26</v>
      </c>
      <c r="Q94">
        <v>21</v>
      </c>
      <c r="R94">
        <v>0</v>
      </c>
      <c r="S94">
        <v>0</v>
      </c>
      <c r="T94">
        <v>0</v>
      </c>
      <c r="U94">
        <v>0</v>
      </c>
      <c r="V94">
        <v>0</v>
      </c>
      <c r="W94">
        <v>1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2</v>
      </c>
      <c r="BC94">
        <v>0</v>
      </c>
      <c r="BD94">
        <v>1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1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1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1</v>
      </c>
      <c r="FP94">
        <v>0</v>
      </c>
      <c r="FQ94">
        <v>0</v>
      </c>
      <c r="FR94">
        <v>0</v>
      </c>
      <c r="FS94">
        <v>0</v>
      </c>
      <c r="FT94">
        <v>1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2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1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2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1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1</v>
      </c>
      <c r="JN94">
        <v>0</v>
      </c>
      <c r="JO94">
        <v>0</v>
      </c>
      <c r="JP94">
        <v>1</v>
      </c>
      <c r="JQ94">
        <v>1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1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1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2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1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0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1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2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</row>
    <row r="95" spans="1:467" x14ac:dyDescent="0.4">
      <c r="A95" t="str">
        <f>"9784088924304"</f>
        <v>9784088924304</v>
      </c>
      <c r="B95" t="str">
        <f>"4088924304"</f>
        <v>4088924304</v>
      </c>
      <c r="C95" t="s">
        <v>2053</v>
      </c>
      <c r="D95" t="s">
        <v>1867</v>
      </c>
      <c r="E95" t="s">
        <v>536</v>
      </c>
      <c r="F95" t="s">
        <v>1859</v>
      </c>
      <c r="G95" t="str">
        <f t="shared" si="2"/>
        <v>9979</v>
      </c>
      <c r="H95" t="s">
        <v>1855</v>
      </c>
      <c r="I95" t="s">
        <v>1856</v>
      </c>
      <c r="J95" t="s">
        <v>1856</v>
      </c>
      <c r="L95" s="1">
        <v>44853</v>
      </c>
      <c r="M95">
        <v>600</v>
      </c>
      <c r="N95">
        <v>26</v>
      </c>
      <c r="O95">
        <v>20</v>
      </c>
      <c r="P95">
        <v>26</v>
      </c>
      <c r="Q95">
        <v>20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3</v>
      </c>
      <c r="BC95">
        <v>0</v>
      </c>
      <c r="BD95">
        <v>0</v>
      </c>
      <c r="BE95">
        <v>0</v>
      </c>
      <c r="BF95">
        <v>0</v>
      </c>
      <c r="BG95">
        <v>1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1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1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1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1</v>
      </c>
      <c r="DZ95">
        <v>0</v>
      </c>
      <c r="EA95">
        <v>0</v>
      </c>
      <c r="EB95">
        <v>0</v>
      </c>
      <c r="EC95">
        <v>0</v>
      </c>
      <c r="ED95">
        <v>1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1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2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2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1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1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1</v>
      </c>
      <c r="JG95">
        <v>2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1</v>
      </c>
      <c r="JO95">
        <v>0</v>
      </c>
      <c r="JP95">
        <v>0</v>
      </c>
      <c r="JQ95">
        <v>2</v>
      </c>
      <c r="JR95">
        <v>1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1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1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0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</row>
    <row r="96" spans="1:467" x14ac:dyDescent="0.4">
      <c r="A96" t="str">
        <f>"9784065296370"</f>
        <v>9784065296370</v>
      </c>
      <c r="B96" t="str">
        <f>"4065296374"</f>
        <v>4065296374</v>
      </c>
      <c r="C96" t="s">
        <v>2054</v>
      </c>
      <c r="D96" t="s">
        <v>1861</v>
      </c>
      <c r="E96" t="s">
        <v>548</v>
      </c>
      <c r="F96" t="s">
        <v>1862</v>
      </c>
      <c r="G96" t="str">
        <f t="shared" si="2"/>
        <v>9979</v>
      </c>
      <c r="H96" t="s">
        <v>1855</v>
      </c>
      <c r="I96" t="s">
        <v>1856</v>
      </c>
      <c r="J96" t="s">
        <v>1856</v>
      </c>
      <c r="L96" s="1">
        <v>44880</v>
      </c>
      <c r="M96">
        <v>480</v>
      </c>
      <c r="N96">
        <v>25</v>
      </c>
      <c r="O96">
        <v>23</v>
      </c>
      <c r="P96">
        <v>25</v>
      </c>
      <c r="Q96">
        <v>23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1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2</v>
      </c>
      <c r="BC96">
        <v>0</v>
      </c>
      <c r="BD96">
        <v>0</v>
      </c>
      <c r="BE96">
        <v>1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1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1</v>
      </c>
      <c r="FU96">
        <v>0</v>
      </c>
      <c r="FV96">
        <v>0</v>
      </c>
      <c r="FW96">
        <v>0</v>
      </c>
      <c r="FX96">
        <v>0</v>
      </c>
      <c r="FY96">
        <v>1</v>
      </c>
      <c r="FZ96">
        <v>1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1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1</v>
      </c>
      <c r="IL96">
        <v>0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1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2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1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1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1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1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1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0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</row>
    <row r="97" spans="1:467" x14ac:dyDescent="0.4">
      <c r="A97" t="str">
        <f>"9784396768690"</f>
        <v>9784396768690</v>
      </c>
      <c r="B97" t="str">
        <f>"4396768699"</f>
        <v>4396768699</v>
      </c>
      <c r="C97" t="s">
        <v>2055</v>
      </c>
      <c r="D97" t="s">
        <v>2056</v>
      </c>
      <c r="E97" t="s">
        <v>1387</v>
      </c>
      <c r="F97" t="s">
        <v>2057</v>
      </c>
      <c r="G97" t="str">
        <f t="shared" si="2"/>
        <v>9979</v>
      </c>
      <c r="H97" t="s">
        <v>1855</v>
      </c>
      <c r="I97" t="s">
        <v>1856</v>
      </c>
      <c r="J97" t="s">
        <v>1856</v>
      </c>
      <c r="L97" s="1">
        <v>44903</v>
      </c>
      <c r="M97">
        <v>740</v>
      </c>
      <c r="N97">
        <v>25</v>
      </c>
      <c r="O97">
        <v>16</v>
      </c>
      <c r="P97">
        <v>25</v>
      </c>
      <c r="Q97">
        <v>16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3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2</v>
      </c>
      <c r="BC97">
        <v>0</v>
      </c>
      <c r="BD97">
        <v>0</v>
      </c>
      <c r="BE97">
        <v>1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1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1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1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1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2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2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5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1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1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1</v>
      </c>
      <c r="OO97">
        <v>1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1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</row>
    <row r="98" spans="1:467" x14ac:dyDescent="0.4">
      <c r="A98" t="str">
        <f>"9784065285015"</f>
        <v>9784065285015</v>
      </c>
      <c r="B98" t="str">
        <f>"4065285011"</f>
        <v>4065285011</v>
      </c>
      <c r="C98" t="s">
        <v>2058</v>
      </c>
      <c r="D98" t="s">
        <v>1902</v>
      </c>
      <c r="E98" t="s">
        <v>548</v>
      </c>
      <c r="F98" t="s">
        <v>1862</v>
      </c>
      <c r="G98" t="str">
        <f t="shared" si="2"/>
        <v>9979</v>
      </c>
      <c r="H98" t="s">
        <v>1855</v>
      </c>
      <c r="I98" t="s">
        <v>1856</v>
      </c>
      <c r="J98" t="s">
        <v>1856</v>
      </c>
      <c r="L98" s="1">
        <v>44757</v>
      </c>
      <c r="M98">
        <v>480</v>
      </c>
      <c r="N98">
        <v>25</v>
      </c>
      <c r="O98">
        <v>19</v>
      </c>
      <c r="P98">
        <v>25</v>
      </c>
      <c r="Q98">
        <v>19</v>
      </c>
      <c r="R98">
        <v>0</v>
      </c>
      <c r="S98">
        <v>0</v>
      </c>
      <c r="T98">
        <v>1</v>
      </c>
      <c r="U98">
        <v>0</v>
      </c>
      <c r="V98">
        <v>0</v>
      </c>
      <c r="W98">
        <v>1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2</v>
      </c>
      <c r="BC98">
        <v>0</v>
      </c>
      <c r="BD98">
        <v>0</v>
      </c>
      <c r="BE98">
        <v>0</v>
      </c>
      <c r="BF98">
        <v>0</v>
      </c>
      <c r="BG98">
        <v>1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1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1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2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0</v>
      </c>
      <c r="FR98">
        <v>0</v>
      </c>
      <c r="FS98">
        <v>0</v>
      </c>
      <c r="FT98">
        <v>1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1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2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1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3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2</v>
      </c>
      <c r="KC98">
        <v>0</v>
      </c>
      <c r="KD98">
        <v>0</v>
      </c>
      <c r="KE98">
        <v>0</v>
      </c>
      <c r="KF98">
        <v>1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1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1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1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</row>
    <row r="99" spans="1:467" x14ac:dyDescent="0.4">
      <c r="A99" t="str">
        <f>"9784065297308"</f>
        <v>9784065297308</v>
      </c>
      <c r="B99" t="str">
        <f>"4065297303"</f>
        <v>4065297303</v>
      </c>
      <c r="C99" t="s">
        <v>2059</v>
      </c>
      <c r="D99" t="s">
        <v>2060</v>
      </c>
      <c r="E99" t="s">
        <v>548</v>
      </c>
      <c r="F99" t="s">
        <v>1947</v>
      </c>
      <c r="G99" t="str">
        <f t="shared" si="2"/>
        <v>9979</v>
      </c>
      <c r="H99" t="s">
        <v>1855</v>
      </c>
      <c r="I99" t="s">
        <v>1856</v>
      </c>
      <c r="J99" t="s">
        <v>1856</v>
      </c>
      <c r="L99" s="1">
        <v>44887</v>
      </c>
      <c r="M99">
        <v>680</v>
      </c>
      <c r="N99">
        <v>24</v>
      </c>
      <c r="O99">
        <v>21</v>
      </c>
      <c r="P99">
        <v>24</v>
      </c>
      <c r="Q99">
        <v>21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1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1</v>
      </c>
      <c r="BC99">
        <v>0</v>
      </c>
      <c r="BD99">
        <v>0</v>
      </c>
      <c r="BE99">
        <v>0</v>
      </c>
      <c r="BF99">
        <v>0</v>
      </c>
      <c r="BG99">
        <v>1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1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1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1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1</v>
      </c>
      <c r="DX99">
        <v>1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1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1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1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1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4</v>
      </c>
      <c r="JG99">
        <v>0</v>
      </c>
      <c r="JH99">
        <v>1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1</v>
      </c>
      <c r="JR99">
        <v>1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1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1</v>
      </c>
      <c r="NA99">
        <v>0</v>
      </c>
      <c r="NB99">
        <v>0</v>
      </c>
      <c r="NC99">
        <v>0</v>
      </c>
      <c r="ND99">
        <v>0</v>
      </c>
      <c r="NE99">
        <v>1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1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</row>
    <row r="100" spans="1:467" hidden="1" x14ac:dyDescent="0.4">
      <c r="A100" t="str">
        <f>"9784816361494"</f>
        <v>9784816361494</v>
      </c>
      <c r="B100" t="str">
        <f>"4816361499"</f>
        <v>4816361499</v>
      </c>
      <c r="C100" t="s">
        <v>2061</v>
      </c>
      <c r="D100" t="s">
        <v>2062</v>
      </c>
      <c r="E100" t="s">
        <v>2063</v>
      </c>
      <c r="G100" t="str">
        <f>"2077"</f>
        <v>2077</v>
      </c>
      <c r="H100" t="s">
        <v>1991</v>
      </c>
      <c r="I100" t="s">
        <v>1893</v>
      </c>
      <c r="J100" t="s">
        <v>1006</v>
      </c>
      <c r="L100" s="1">
        <v>42711</v>
      </c>
      <c r="M100">
        <v>1000</v>
      </c>
      <c r="N100">
        <v>24</v>
      </c>
      <c r="O100">
        <v>1</v>
      </c>
      <c r="P100">
        <v>24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24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</row>
    <row r="101" spans="1:467" hidden="1" x14ac:dyDescent="0.4">
      <c r="A101" t="str">
        <f>"9784000014113"</f>
        <v>9784000014113</v>
      </c>
      <c r="B101" t="str">
        <f>"4000014110"</f>
        <v>4000014110</v>
      </c>
      <c r="C101" t="s">
        <v>2064</v>
      </c>
      <c r="D101" t="s">
        <v>2065</v>
      </c>
      <c r="E101" t="s">
        <v>521</v>
      </c>
      <c r="G101" t="str">
        <f>"0093"</f>
        <v>0093</v>
      </c>
      <c r="H101" t="s">
        <v>481</v>
      </c>
      <c r="I101" t="s">
        <v>1893</v>
      </c>
      <c r="J101" t="s">
        <v>488</v>
      </c>
      <c r="L101" s="1">
        <v>43745</v>
      </c>
      <c r="M101">
        <v>850</v>
      </c>
      <c r="N101">
        <v>24</v>
      </c>
      <c r="O101">
        <v>23</v>
      </c>
      <c r="P101">
        <v>24</v>
      </c>
      <c r="Q101">
        <v>23</v>
      </c>
      <c r="R101">
        <v>0</v>
      </c>
      <c r="S101">
        <v>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1</v>
      </c>
      <c r="BC101">
        <v>0</v>
      </c>
      <c r="BD101">
        <v>1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1</v>
      </c>
      <c r="BO101">
        <v>0</v>
      </c>
      <c r="BP101">
        <v>0</v>
      </c>
      <c r="BQ101">
        <v>0</v>
      </c>
      <c r="BR101">
        <v>1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1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2</v>
      </c>
      <c r="CR101">
        <v>0</v>
      </c>
      <c r="CS101">
        <v>0</v>
      </c>
      <c r="CT101">
        <v>1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1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1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1</v>
      </c>
      <c r="HV101">
        <v>1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1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1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1</v>
      </c>
      <c r="LX101">
        <v>0</v>
      </c>
      <c r="LY101">
        <v>0</v>
      </c>
      <c r="LZ101">
        <v>0</v>
      </c>
      <c r="MA101">
        <v>0</v>
      </c>
      <c r="MB101">
        <v>1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1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1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1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1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1</v>
      </c>
      <c r="QY101">
        <v>0</v>
      </c>
    </row>
    <row r="102" spans="1:467" hidden="1" x14ac:dyDescent="0.4">
      <c r="A102" t="str">
        <f>"9784022518781"</f>
        <v>9784022518781</v>
      </c>
      <c r="B102" t="str">
        <f>"4022518782"</f>
        <v>4022518782</v>
      </c>
      <c r="C102" t="s">
        <v>2066</v>
      </c>
      <c r="D102" t="s">
        <v>916</v>
      </c>
      <c r="E102" t="s">
        <v>498</v>
      </c>
      <c r="G102" t="str">
        <f>"0095"</f>
        <v>0095</v>
      </c>
      <c r="H102" t="s">
        <v>481</v>
      </c>
      <c r="I102" t="s">
        <v>1893</v>
      </c>
      <c r="J102" t="s">
        <v>509</v>
      </c>
      <c r="L102" s="1">
        <v>44933</v>
      </c>
      <c r="M102">
        <v>1700</v>
      </c>
      <c r="N102">
        <v>24</v>
      </c>
      <c r="O102">
        <v>16</v>
      </c>
      <c r="P102">
        <v>24</v>
      </c>
      <c r="Q102">
        <v>16</v>
      </c>
      <c r="R102">
        <v>0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1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4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3</v>
      </c>
      <c r="CR102">
        <v>0</v>
      </c>
      <c r="CS102">
        <v>1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1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1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1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1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3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1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2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1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1</v>
      </c>
      <c r="OT102">
        <v>1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1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</row>
    <row r="103" spans="1:467" hidden="1" x14ac:dyDescent="0.4">
      <c r="A103" t="str">
        <f>"9784106038938"</f>
        <v>9784106038938</v>
      </c>
      <c r="B103" t="str">
        <f>"4106038935"</f>
        <v>4106038935</v>
      </c>
      <c r="C103" t="s">
        <v>2067</v>
      </c>
      <c r="D103" t="s">
        <v>2068</v>
      </c>
      <c r="E103" t="s">
        <v>516</v>
      </c>
      <c r="F103" t="s">
        <v>2069</v>
      </c>
      <c r="G103" t="str">
        <f>"0390"</f>
        <v>0390</v>
      </c>
      <c r="H103" t="s">
        <v>481</v>
      </c>
      <c r="I103" t="s">
        <v>1877</v>
      </c>
      <c r="J103" t="s">
        <v>1885</v>
      </c>
      <c r="L103" s="1">
        <v>44916</v>
      </c>
      <c r="M103">
        <v>1600</v>
      </c>
      <c r="N103">
        <v>23</v>
      </c>
      <c r="O103">
        <v>21</v>
      </c>
      <c r="P103">
        <v>23</v>
      </c>
      <c r="Q103">
        <v>21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1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1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2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1</v>
      </c>
      <c r="FE103">
        <v>1</v>
      </c>
      <c r="FF103">
        <v>1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1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1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1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1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1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2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1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1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1</v>
      </c>
      <c r="PU103">
        <v>0</v>
      </c>
      <c r="PV103">
        <v>1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1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</row>
    <row r="104" spans="1:467" hidden="1" x14ac:dyDescent="0.4">
      <c r="A104" t="str">
        <f>"9784409340622"</f>
        <v>9784409340622</v>
      </c>
      <c r="B104" t="str">
        <f>"440934062X"</f>
        <v>440934062X</v>
      </c>
      <c r="C104" t="s">
        <v>2070</v>
      </c>
      <c r="D104" t="s">
        <v>1099</v>
      </c>
      <c r="E104" t="s">
        <v>2071</v>
      </c>
      <c r="G104" t="str">
        <f>"0095"</f>
        <v>0095</v>
      </c>
      <c r="H104" t="s">
        <v>481</v>
      </c>
      <c r="I104" t="s">
        <v>1893</v>
      </c>
      <c r="J104" t="s">
        <v>509</v>
      </c>
      <c r="L104" s="1">
        <v>44900</v>
      </c>
      <c r="M104">
        <v>2300</v>
      </c>
      <c r="N104">
        <v>22</v>
      </c>
      <c r="O104">
        <v>22</v>
      </c>
      <c r="P104">
        <v>22</v>
      </c>
      <c r="Q104">
        <v>22</v>
      </c>
      <c r="R104">
        <v>0</v>
      </c>
      <c r="S104">
        <v>1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1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1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1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1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1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1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-1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1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1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1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2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1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1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1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1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>
        <v>0</v>
      </c>
      <c r="PV104">
        <v>0</v>
      </c>
      <c r="PW104">
        <v>1</v>
      </c>
      <c r="PX104">
        <v>0</v>
      </c>
      <c r="PY104">
        <v>0</v>
      </c>
      <c r="PZ104">
        <v>0</v>
      </c>
      <c r="QA104">
        <v>0</v>
      </c>
      <c r="QB104">
        <v>1</v>
      </c>
      <c r="QC104">
        <v>0</v>
      </c>
      <c r="QD104">
        <v>0</v>
      </c>
      <c r="QE104">
        <v>0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1</v>
      </c>
      <c r="QL104">
        <v>0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</row>
    <row r="105" spans="1:467" hidden="1" x14ac:dyDescent="0.4">
      <c r="A105" t="str">
        <f>"9784118972312"</f>
        <v>9784118972312</v>
      </c>
      <c r="B105" t="str">
        <f>"411897231X"</f>
        <v>411897231X</v>
      </c>
      <c r="C105" t="s">
        <v>2072</v>
      </c>
      <c r="D105" t="s">
        <v>2073</v>
      </c>
      <c r="E105" t="s">
        <v>1916</v>
      </c>
      <c r="F105" t="s">
        <v>1917</v>
      </c>
      <c r="G105" t="str">
        <f>"3073"</f>
        <v>3073</v>
      </c>
      <c r="H105" t="s">
        <v>761</v>
      </c>
      <c r="I105" t="s">
        <v>1893</v>
      </c>
      <c r="J105" t="s">
        <v>794</v>
      </c>
      <c r="L105" s="1">
        <v>43344</v>
      </c>
      <c r="M105">
        <v>1800</v>
      </c>
      <c r="N105">
        <v>23</v>
      </c>
      <c r="O105">
        <v>1</v>
      </c>
      <c r="P105">
        <v>23</v>
      </c>
      <c r="Q105">
        <v>1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23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</row>
    <row r="106" spans="1:467" hidden="1" x14ac:dyDescent="0.4">
      <c r="A106" t="str">
        <f>"9784065241271"</f>
        <v>9784065241271</v>
      </c>
      <c r="B106" t="str">
        <f>"4065241278"</f>
        <v>4065241278</v>
      </c>
      <c r="C106" t="s">
        <v>2074</v>
      </c>
      <c r="D106" t="s">
        <v>2075</v>
      </c>
      <c r="E106" t="s">
        <v>548</v>
      </c>
      <c r="G106" t="str">
        <f>"0095"</f>
        <v>0095</v>
      </c>
      <c r="H106" t="s">
        <v>481</v>
      </c>
      <c r="I106" t="s">
        <v>1893</v>
      </c>
      <c r="J106" t="s">
        <v>509</v>
      </c>
      <c r="L106" s="1">
        <v>44909</v>
      </c>
      <c r="M106">
        <v>1800</v>
      </c>
      <c r="N106">
        <v>23</v>
      </c>
      <c r="O106">
        <v>20</v>
      </c>
      <c r="P106">
        <v>23</v>
      </c>
      <c r="Q106">
        <v>20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1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1</v>
      </c>
      <c r="DC106">
        <v>1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3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1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1</v>
      </c>
      <c r="IK106">
        <v>2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1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1</v>
      </c>
      <c r="JN106">
        <v>0</v>
      </c>
      <c r="JO106">
        <v>0</v>
      </c>
      <c r="JP106">
        <v>0</v>
      </c>
      <c r="JQ106">
        <v>1</v>
      </c>
      <c r="JR106">
        <v>1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1</v>
      </c>
      <c r="LW106">
        <v>1</v>
      </c>
      <c r="LX106">
        <v>0</v>
      </c>
      <c r="LY106">
        <v>0</v>
      </c>
      <c r="LZ106">
        <v>1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1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1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1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</row>
    <row r="107" spans="1:467" hidden="1" x14ac:dyDescent="0.4">
      <c r="A107" t="str">
        <f>"9784815811082"</f>
        <v>9784815811082</v>
      </c>
      <c r="B107" t="str">
        <f>"4815811083"</f>
        <v>4815811083</v>
      </c>
      <c r="C107" t="s">
        <v>2076</v>
      </c>
      <c r="D107" t="s">
        <v>2077</v>
      </c>
      <c r="E107" t="s">
        <v>2078</v>
      </c>
      <c r="G107" t="str">
        <f>"3095"</f>
        <v>3095</v>
      </c>
      <c r="H107" t="s">
        <v>761</v>
      </c>
      <c r="I107" t="s">
        <v>1893</v>
      </c>
      <c r="J107" t="s">
        <v>509</v>
      </c>
      <c r="L107" s="1">
        <v>44919</v>
      </c>
      <c r="M107">
        <v>6300</v>
      </c>
      <c r="N107">
        <v>23</v>
      </c>
      <c r="O107">
        <v>19</v>
      </c>
      <c r="P107">
        <v>23</v>
      </c>
      <c r="Q107">
        <v>19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1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3</v>
      </c>
      <c r="CI107">
        <v>1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2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1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1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1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2</v>
      </c>
      <c r="IU107">
        <v>0</v>
      </c>
      <c r="IV107">
        <v>1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1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1</v>
      </c>
      <c r="JN107">
        <v>0</v>
      </c>
      <c r="JO107">
        <v>0</v>
      </c>
      <c r="JP107">
        <v>0</v>
      </c>
      <c r="JQ107">
        <v>1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1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1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1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1</v>
      </c>
      <c r="PL107">
        <v>0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1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1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</row>
    <row r="108" spans="1:467" hidden="1" x14ac:dyDescent="0.4">
      <c r="A108" t="str">
        <f>"9784152101945"</f>
        <v>9784152101945</v>
      </c>
      <c r="B108" t="str">
        <f>"4152101946"</f>
        <v>4152101946</v>
      </c>
      <c r="C108" t="s">
        <v>2079</v>
      </c>
      <c r="D108" t="s">
        <v>2080</v>
      </c>
      <c r="E108" t="s">
        <v>963</v>
      </c>
      <c r="G108" t="str">
        <f>"0097"</f>
        <v>0097</v>
      </c>
      <c r="H108" t="s">
        <v>481</v>
      </c>
      <c r="I108" t="s">
        <v>1893</v>
      </c>
      <c r="J108" t="s">
        <v>564</v>
      </c>
      <c r="L108" s="1">
        <v>44917</v>
      </c>
      <c r="M108">
        <v>2000</v>
      </c>
      <c r="N108">
        <v>23</v>
      </c>
      <c r="O108">
        <v>19</v>
      </c>
      <c r="P108">
        <v>23</v>
      </c>
      <c r="Q108">
        <v>19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1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1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3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1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1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1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1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1</v>
      </c>
      <c r="HV108">
        <v>1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3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1</v>
      </c>
      <c r="JN108">
        <v>0</v>
      </c>
      <c r="JO108">
        <v>0</v>
      </c>
      <c r="JP108">
        <v>0</v>
      </c>
      <c r="JQ108">
        <v>1</v>
      </c>
      <c r="JR108">
        <v>1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1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1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1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</row>
    <row r="109" spans="1:467" hidden="1" x14ac:dyDescent="0.4">
      <c r="A109" t="str">
        <f>"9784163916316"</f>
        <v>9784163916316</v>
      </c>
      <c r="B109" t="str">
        <f>"4163916318"</f>
        <v>4163916318</v>
      </c>
      <c r="C109" t="s">
        <v>2081</v>
      </c>
      <c r="D109" t="s">
        <v>1688</v>
      </c>
      <c r="E109" t="s">
        <v>639</v>
      </c>
      <c r="G109" t="str">
        <f>"0095"</f>
        <v>0095</v>
      </c>
      <c r="H109" t="s">
        <v>481</v>
      </c>
      <c r="I109" t="s">
        <v>1893</v>
      </c>
      <c r="J109" t="s">
        <v>509</v>
      </c>
      <c r="L109" s="1">
        <v>44890</v>
      </c>
      <c r="M109">
        <v>1600</v>
      </c>
      <c r="N109">
        <v>23</v>
      </c>
      <c r="O109">
        <v>15</v>
      </c>
      <c r="P109">
        <v>23</v>
      </c>
      <c r="Q109">
        <v>15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1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5</v>
      </c>
      <c r="CI109">
        <v>1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2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1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1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1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1</v>
      </c>
      <c r="JG109">
        <v>0</v>
      </c>
      <c r="JH109">
        <v>0</v>
      </c>
      <c r="JI109">
        <v>0</v>
      </c>
      <c r="JJ109">
        <v>2</v>
      </c>
      <c r="JK109">
        <v>0</v>
      </c>
      <c r="JL109">
        <v>0</v>
      </c>
      <c r="JM109">
        <v>3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1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1</v>
      </c>
      <c r="OM109">
        <v>0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0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0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1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</row>
    <row r="110" spans="1:467" x14ac:dyDescent="0.4">
      <c r="A110" t="str">
        <f>"9784098515349"</f>
        <v>9784098515349</v>
      </c>
      <c r="B110" t="str">
        <f>"4098515342"</f>
        <v>4098515342</v>
      </c>
      <c r="C110" t="s">
        <v>2082</v>
      </c>
      <c r="D110" t="s">
        <v>2083</v>
      </c>
      <c r="E110" t="s">
        <v>1069</v>
      </c>
      <c r="F110" t="s">
        <v>1881</v>
      </c>
      <c r="G110" t="str">
        <f>"9979"</f>
        <v>9979</v>
      </c>
      <c r="H110" t="s">
        <v>1855</v>
      </c>
      <c r="I110" t="s">
        <v>1856</v>
      </c>
      <c r="J110" t="s">
        <v>1856</v>
      </c>
      <c r="L110" s="1">
        <v>44944</v>
      </c>
      <c r="M110">
        <v>500</v>
      </c>
      <c r="N110">
        <v>23</v>
      </c>
      <c r="O110">
        <v>17</v>
      </c>
      <c r="P110">
        <v>23</v>
      </c>
      <c r="Q110">
        <v>17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2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2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2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2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1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1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1</v>
      </c>
      <c r="HD110">
        <v>1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1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1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1</v>
      </c>
      <c r="JO110">
        <v>0</v>
      </c>
      <c r="JP110">
        <v>0</v>
      </c>
      <c r="JQ110">
        <v>2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1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2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1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</v>
      </c>
      <c r="PE110">
        <v>0</v>
      </c>
      <c r="PF110">
        <v>0</v>
      </c>
      <c r="PG110">
        <v>0</v>
      </c>
      <c r="PH110">
        <v>0</v>
      </c>
      <c r="PI110">
        <v>0</v>
      </c>
      <c r="PJ110">
        <v>0</v>
      </c>
      <c r="PK110">
        <v>0</v>
      </c>
      <c r="PL110">
        <v>0</v>
      </c>
      <c r="PM110">
        <v>0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0</v>
      </c>
      <c r="PT110">
        <v>0</v>
      </c>
      <c r="PU110">
        <v>0</v>
      </c>
      <c r="PV110">
        <v>0</v>
      </c>
      <c r="PW110">
        <v>0</v>
      </c>
      <c r="PX110">
        <v>0</v>
      </c>
      <c r="PY110">
        <v>0</v>
      </c>
      <c r="PZ110">
        <v>0</v>
      </c>
      <c r="QA110">
        <v>0</v>
      </c>
      <c r="QB110">
        <v>0</v>
      </c>
      <c r="QC110">
        <v>0</v>
      </c>
      <c r="QD110">
        <v>0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</row>
    <row r="111" spans="1:467" hidden="1" x14ac:dyDescent="0.4">
      <c r="A111" t="str">
        <f>"9784575245677"</f>
        <v>9784575245677</v>
      </c>
      <c r="B111" t="str">
        <f>"4575245674"</f>
        <v>4575245674</v>
      </c>
      <c r="C111" t="s">
        <v>2084</v>
      </c>
      <c r="D111" t="s">
        <v>2085</v>
      </c>
      <c r="E111" t="s">
        <v>807</v>
      </c>
      <c r="G111" t="str">
        <f>"0093"</f>
        <v>0093</v>
      </c>
      <c r="H111" t="s">
        <v>481</v>
      </c>
      <c r="I111" t="s">
        <v>1893</v>
      </c>
      <c r="J111" t="s">
        <v>488</v>
      </c>
      <c r="L111" s="1">
        <v>44853</v>
      </c>
      <c r="M111">
        <v>1400</v>
      </c>
      <c r="N111">
        <v>22</v>
      </c>
      <c r="O111">
        <v>17</v>
      </c>
      <c r="P111">
        <v>22</v>
      </c>
      <c r="Q111">
        <v>17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1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1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1</v>
      </c>
      <c r="CZ111">
        <v>0</v>
      </c>
      <c r="DA111">
        <v>0</v>
      </c>
      <c r="DB111">
        <v>0</v>
      </c>
      <c r="DC111">
        <v>1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1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1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1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2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1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2</v>
      </c>
      <c r="JN111">
        <v>0</v>
      </c>
      <c r="JO111">
        <v>0</v>
      </c>
      <c r="JP111">
        <v>0</v>
      </c>
      <c r="JQ111">
        <v>3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2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1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1</v>
      </c>
      <c r="NZ111">
        <v>0</v>
      </c>
      <c r="OA111">
        <v>0</v>
      </c>
      <c r="OB111">
        <v>1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1</v>
      </c>
      <c r="OT111">
        <v>1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0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</row>
    <row r="112" spans="1:467" hidden="1" x14ac:dyDescent="0.4">
      <c r="A112" t="str">
        <f>"9784152100641"</f>
        <v>9784152100641</v>
      </c>
      <c r="B112" t="str">
        <f>"4152100648"</f>
        <v>4152100648</v>
      </c>
      <c r="C112" t="s">
        <v>2086</v>
      </c>
      <c r="D112" t="s">
        <v>2087</v>
      </c>
      <c r="E112" t="s">
        <v>963</v>
      </c>
      <c r="G112" t="str">
        <f>"0093"</f>
        <v>0093</v>
      </c>
      <c r="H112" t="s">
        <v>481</v>
      </c>
      <c r="I112" t="s">
        <v>1893</v>
      </c>
      <c r="J112" t="s">
        <v>488</v>
      </c>
      <c r="L112" s="1">
        <v>44517</v>
      </c>
      <c r="M112">
        <v>1900</v>
      </c>
      <c r="N112">
        <v>22</v>
      </c>
      <c r="O112">
        <v>18</v>
      </c>
      <c r="P112">
        <v>22</v>
      </c>
      <c r="Q112">
        <v>18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1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1</v>
      </c>
      <c r="CD112">
        <v>0</v>
      </c>
      <c r="CE112">
        <v>0</v>
      </c>
      <c r="CF112">
        <v>0</v>
      </c>
      <c r="CG112">
        <v>0</v>
      </c>
      <c r="CH112">
        <v>3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1</v>
      </c>
      <c r="DC112">
        <v>1</v>
      </c>
      <c r="DD112">
        <v>0</v>
      </c>
      <c r="DE112">
        <v>1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2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1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1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1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1</v>
      </c>
      <c r="JN112">
        <v>0</v>
      </c>
      <c r="JO112">
        <v>0</v>
      </c>
      <c r="JP112">
        <v>0</v>
      </c>
      <c r="JQ112">
        <v>1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1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2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1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1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1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1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</row>
    <row r="113" spans="1:467" x14ac:dyDescent="0.4">
      <c r="A113" t="str">
        <f>"9784088830766"</f>
        <v>9784088830766</v>
      </c>
      <c r="B113" t="str">
        <f>"4088830768"</f>
        <v>4088830768</v>
      </c>
      <c r="C113" t="s">
        <v>2088</v>
      </c>
      <c r="D113" t="s">
        <v>2006</v>
      </c>
      <c r="E113" t="s">
        <v>536</v>
      </c>
      <c r="F113" t="s">
        <v>1935</v>
      </c>
      <c r="G113" t="str">
        <f>"9979"</f>
        <v>9979</v>
      </c>
      <c r="H113" t="s">
        <v>1855</v>
      </c>
      <c r="I113" t="s">
        <v>1856</v>
      </c>
      <c r="J113" t="s">
        <v>1856</v>
      </c>
      <c r="L113" s="1">
        <v>44655</v>
      </c>
      <c r="M113">
        <v>480</v>
      </c>
      <c r="N113">
        <v>22</v>
      </c>
      <c r="O113">
        <v>14</v>
      </c>
      <c r="P113">
        <v>22</v>
      </c>
      <c r="Q113">
        <v>14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1</v>
      </c>
      <c r="BC113">
        <v>0</v>
      </c>
      <c r="BD113">
        <v>0</v>
      </c>
      <c r="BE113">
        <v>1</v>
      </c>
      <c r="BF113">
        <v>0</v>
      </c>
      <c r="BG113">
        <v>0</v>
      </c>
      <c r="BH113">
        <v>0</v>
      </c>
      <c r="BI113">
        <v>1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1</v>
      </c>
      <c r="CI113">
        <v>1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1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2</v>
      </c>
      <c r="FP113">
        <v>0</v>
      </c>
      <c r="FQ113">
        <v>0</v>
      </c>
      <c r="FR113">
        <v>0</v>
      </c>
      <c r="FS113">
        <v>0</v>
      </c>
      <c r="FT113">
        <v>8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1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1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1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</row>
    <row r="114" spans="1:467" x14ac:dyDescent="0.4">
      <c r="A114" t="str">
        <f>"9784098515370"</f>
        <v>9784098515370</v>
      </c>
      <c r="B114" t="str">
        <f>"4098515377"</f>
        <v>4098515377</v>
      </c>
      <c r="C114" t="s">
        <v>2089</v>
      </c>
      <c r="D114" t="s">
        <v>2003</v>
      </c>
      <c r="E114" t="s">
        <v>1069</v>
      </c>
      <c r="F114" t="s">
        <v>2090</v>
      </c>
      <c r="G114" t="str">
        <f>"9979"</f>
        <v>9979</v>
      </c>
      <c r="H114" t="s">
        <v>1855</v>
      </c>
      <c r="I114" t="s">
        <v>1856</v>
      </c>
      <c r="J114" t="s">
        <v>1856</v>
      </c>
      <c r="L114" s="1">
        <v>44921</v>
      </c>
      <c r="M114">
        <v>650</v>
      </c>
      <c r="N114">
        <v>22</v>
      </c>
      <c r="O114">
        <v>16</v>
      </c>
      <c r="P114">
        <v>22</v>
      </c>
      <c r="Q114">
        <v>16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1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1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1</v>
      </c>
      <c r="CI114">
        <v>3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1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1</v>
      </c>
      <c r="FP114">
        <v>0</v>
      </c>
      <c r="FQ114">
        <v>0</v>
      </c>
      <c r="FR114">
        <v>0</v>
      </c>
      <c r="FS114">
        <v>0</v>
      </c>
      <c r="FT114">
        <v>1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2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1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3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2</v>
      </c>
      <c r="JR114">
        <v>1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1</v>
      </c>
      <c r="KC114">
        <v>0</v>
      </c>
      <c r="KD114">
        <v>0</v>
      </c>
      <c r="KE114">
        <v>0</v>
      </c>
      <c r="KF114">
        <v>1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1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</row>
    <row r="115" spans="1:467" hidden="1" x14ac:dyDescent="0.4">
      <c r="A115" t="str">
        <f>"9784797674149"</f>
        <v>9784797674149</v>
      </c>
      <c r="B115" t="str">
        <f>"4797674148"</f>
        <v>4797674148</v>
      </c>
      <c r="C115" t="s">
        <v>2091</v>
      </c>
      <c r="D115" t="s">
        <v>2092</v>
      </c>
      <c r="E115" t="s">
        <v>1150</v>
      </c>
      <c r="G115" t="str">
        <f>"0095"</f>
        <v>0095</v>
      </c>
      <c r="H115" t="s">
        <v>481</v>
      </c>
      <c r="I115" t="s">
        <v>1893</v>
      </c>
      <c r="J115" t="s">
        <v>509</v>
      </c>
      <c r="L115" s="1">
        <v>44809</v>
      </c>
      <c r="M115">
        <v>1700</v>
      </c>
      <c r="N115">
        <v>22</v>
      </c>
      <c r="O115">
        <v>17</v>
      </c>
      <c r="P115">
        <v>22</v>
      </c>
      <c r="Q115">
        <v>17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1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1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1</v>
      </c>
      <c r="CZ115">
        <v>0</v>
      </c>
      <c r="DA115">
        <v>0</v>
      </c>
      <c r="DB115">
        <v>0</v>
      </c>
      <c r="DC115">
        <v>2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1</v>
      </c>
      <c r="DZ115">
        <v>0</v>
      </c>
      <c r="EA115">
        <v>0</v>
      </c>
      <c r="EB115">
        <v>0</v>
      </c>
      <c r="EC115">
        <v>0</v>
      </c>
      <c r="ED115">
        <v>1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1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1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1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2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1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2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1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1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2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1</v>
      </c>
    </row>
    <row r="116" spans="1:467" hidden="1" x14ac:dyDescent="0.4">
      <c r="A116" t="str">
        <f>"9784787274519"</f>
        <v>9784787274519</v>
      </c>
      <c r="B116" t="str">
        <f>"4787274511"</f>
        <v>4787274511</v>
      </c>
      <c r="C116" t="s">
        <v>2093</v>
      </c>
      <c r="D116" t="s">
        <v>2094</v>
      </c>
      <c r="E116" t="s">
        <v>2095</v>
      </c>
      <c r="G116" t="str">
        <f>"0074"</f>
        <v>0074</v>
      </c>
      <c r="H116" t="s">
        <v>481</v>
      </c>
      <c r="I116" t="s">
        <v>1893</v>
      </c>
      <c r="J116" t="s">
        <v>1393</v>
      </c>
      <c r="L116" s="1">
        <v>44910</v>
      </c>
      <c r="M116">
        <v>2800</v>
      </c>
      <c r="N116">
        <v>21</v>
      </c>
      <c r="O116">
        <v>21</v>
      </c>
      <c r="P116">
        <v>21</v>
      </c>
      <c r="Q116">
        <v>21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1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1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1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1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1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1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1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1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1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1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1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1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1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1</v>
      </c>
      <c r="ND116">
        <v>0</v>
      </c>
      <c r="NE116">
        <v>1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1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1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1</v>
      </c>
      <c r="QJ116">
        <v>0</v>
      </c>
      <c r="QK116">
        <v>1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0</v>
      </c>
      <c r="QS116">
        <v>0</v>
      </c>
      <c r="QT116">
        <v>1</v>
      </c>
      <c r="QU116">
        <v>0</v>
      </c>
      <c r="QV116">
        <v>0</v>
      </c>
      <c r="QW116">
        <v>0</v>
      </c>
      <c r="QX116">
        <v>0</v>
      </c>
      <c r="QY116">
        <v>0</v>
      </c>
    </row>
    <row r="117" spans="1:467" hidden="1" x14ac:dyDescent="0.4">
      <c r="A117" t="str">
        <f>"9784022518378"</f>
        <v>9784022518378</v>
      </c>
      <c r="B117" t="str">
        <f>"4022518375"</f>
        <v>4022518375</v>
      </c>
      <c r="C117" t="s">
        <v>2096</v>
      </c>
      <c r="D117" t="s">
        <v>2001</v>
      </c>
      <c r="E117" t="s">
        <v>498</v>
      </c>
      <c r="G117" t="str">
        <f>"0093"</f>
        <v>0093</v>
      </c>
      <c r="H117" t="s">
        <v>481</v>
      </c>
      <c r="I117" t="s">
        <v>1893</v>
      </c>
      <c r="J117" t="s">
        <v>488</v>
      </c>
      <c r="L117" s="1">
        <v>44841</v>
      </c>
      <c r="M117">
        <v>1400</v>
      </c>
      <c r="N117">
        <v>21</v>
      </c>
      <c r="O117">
        <v>14</v>
      </c>
      <c r="P117">
        <v>21</v>
      </c>
      <c r="Q117">
        <v>14</v>
      </c>
      <c r="R117">
        <v>0</v>
      </c>
      <c r="S117">
        <v>0</v>
      </c>
      <c r="T117">
        <v>1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2</v>
      </c>
      <c r="CI117">
        <v>2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1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1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1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1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3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2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1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2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1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</v>
      </c>
      <c r="PL117">
        <v>0</v>
      </c>
      <c r="PM117">
        <v>0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0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</row>
    <row r="118" spans="1:467" x14ac:dyDescent="0.4">
      <c r="A118" t="str">
        <f>"9784065303474"</f>
        <v>9784065303474</v>
      </c>
      <c r="B118" t="str">
        <f>"4065303478"</f>
        <v>4065303478</v>
      </c>
      <c r="C118" t="s">
        <v>2097</v>
      </c>
      <c r="D118" t="s">
        <v>2098</v>
      </c>
      <c r="E118" t="s">
        <v>548</v>
      </c>
      <c r="F118" t="s">
        <v>2099</v>
      </c>
      <c r="G118" t="str">
        <f>"9979"</f>
        <v>9979</v>
      </c>
      <c r="H118" t="s">
        <v>1855</v>
      </c>
      <c r="I118" t="s">
        <v>1856</v>
      </c>
      <c r="J118" t="s">
        <v>1856</v>
      </c>
      <c r="L118" s="1">
        <v>44943</v>
      </c>
      <c r="M118">
        <v>650</v>
      </c>
      <c r="N118">
        <v>21</v>
      </c>
      <c r="O118">
        <v>16</v>
      </c>
      <c r="P118">
        <v>21</v>
      </c>
      <c r="Q118">
        <v>16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2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1</v>
      </c>
      <c r="BF118">
        <v>0</v>
      </c>
      <c r="BG118">
        <v>1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1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2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1</v>
      </c>
      <c r="HI118">
        <v>0</v>
      </c>
      <c r="HJ118">
        <v>0</v>
      </c>
      <c r="HK118">
        <v>2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2</v>
      </c>
      <c r="HW118">
        <v>1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1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1</v>
      </c>
      <c r="JG118">
        <v>0</v>
      </c>
      <c r="JH118">
        <v>0</v>
      </c>
      <c r="JI118">
        <v>1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2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1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1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1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0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</row>
    <row r="119" spans="1:467" hidden="1" x14ac:dyDescent="0.4">
      <c r="A119" t="str">
        <f>"9784000615662"</f>
        <v>9784000615662</v>
      </c>
      <c r="B119" t="str">
        <f>"4000615661"</f>
        <v>4000615661</v>
      </c>
      <c r="C119" t="s">
        <v>2100</v>
      </c>
      <c r="D119" t="s">
        <v>2101</v>
      </c>
      <c r="E119" t="s">
        <v>521</v>
      </c>
      <c r="G119" t="str">
        <f>"0098"</f>
        <v>0098</v>
      </c>
      <c r="H119" t="s">
        <v>481</v>
      </c>
      <c r="I119" t="s">
        <v>1893</v>
      </c>
      <c r="J119" t="s">
        <v>1894</v>
      </c>
      <c r="L119" s="1">
        <v>44879</v>
      </c>
      <c r="M119">
        <v>3300</v>
      </c>
      <c r="N119">
        <v>21</v>
      </c>
      <c r="O119">
        <v>18</v>
      </c>
      <c r="P119">
        <v>21</v>
      </c>
      <c r="Q119">
        <v>18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2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1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1</v>
      </c>
      <c r="CI119">
        <v>1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1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1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2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1</v>
      </c>
      <c r="IL119">
        <v>1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1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1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1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2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1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1</v>
      </c>
      <c r="QJ119">
        <v>0</v>
      </c>
      <c r="QK119">
        <v>1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</row>
    <row r="120" spans="1:467" x14ac:dyDescent="0.4">
      <c r="A120" t="str">
        <f>"9784576850955"</f>
        <v>9784576850955</v>
      </c>
      <c r="B120" t="str">
        <f>"4576850954"</f>
        <v>4576850954</v>
      </c>
      <c r="C120" t="s">
        <v>2102</v>
      </c>
      <c r="E120" t="s">
        <v>2103</v>
      </c>
      <c r="G120" t="str">
        <f>"0977"</f>
        <v>0977</v>
      </c>
      <c r="H120" t="s">
        <v>481</v>
      </c>
      <c r="I120" t="s">
        <v>1856</v>
      </c>
      <c r="J120" t="s">
        <v>1006</v>
      </c>
      <c r="L120" s="1">
        <v>36465</v>
      </c>
      <c r="M120">
        <v>1000</v>
      </c>
      <c r="N120">
        <v>21</v>
      </c>
      <c r="O120">
        <v>1</v>
      </c>
      <c r="P120">
        <v>21</v>
      </c>
      <c r="Q120">
        <v>1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21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</v>
      </c>
      <c r="QJ120">
        <v>0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</row>
    <row r="121" spans="1:467" x14ac:dyDescent="0.4">
      <c r="A121" t="str">
        <f>"9784098514748"</f>
        <v>9784098514748</v>
      </c>
      <c r="B121" t="str">
        <f>"4098514745"</f>
        <v>4098514745</v>
      </c>
      <c r="C121" t="s">
        <v>2104</v>
      </c>
      <c r="D121" t="s">
        <v>2105</v>
      </c>
      <c r="E121" t="s">
        <v>1069</v>
      </c>
      <c r="F121" t="s">
        <v>1881</v>
      </c>
      <c r="G121" t="str">
        <f>"9979"</f>
        <v>9979</v>
      </c>
      <c r="H121" t="s">
        <v>1855</v>
      </c>
      <c r="I121" t="s">
        <v>1856</v>
      </c>
      <c r="J121" t="s">
        <v>1856</v>
      </c>
      <c r="L121" s="1">
        <v>44911</v>
      </c>
      <c r="M121">
        <v>500</v>
      </c>
      <c r="N121">
        <v>21</v>
      </c>
      <c r="O121">
        <v>16</v>
      </c>
      <c r="P121">
        <v>21</v>
      </c>
      <c r="Q121">
        <v>16</v>
      </c>
      <c r="R121">
        <v>0</v>
      </c>
      <c r="S121">
        <v>0</v>
      </c>
      <c r="T121">
        <v>3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0</v>
      </c>
      <c r="AH121">
        <v>0</v>
      </c>
      <c r="AI121">
        <v>1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2</v>
      </c>
      <c r="BC121">
        <v>0</v>
      </c>
      <c r="BD121">
        <v>2</v>
      </c>
      <c r="BE121">
        <v>0</v>
      </c>
      <c r="BF121">
        <v>0</v>
      </c>
      <c r="BG121">
        <v>2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1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1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1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1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1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1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1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1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1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1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</row>
    <row r="122" spans="1:467" hidden="1" x14ac:dyDescent="0.4">
      <c r="A122" t="str">
        <f>"9784788516052"</f>
        <v>9784788516052</v>
      </c>
      <c r="B122" t="str">
        <f>"4788516055"</f>
        <v>4788516055</v>
      </c>
      <c r="C122" t="s">
        <v>2106</v>
      </c>
      <c r="D122" t="s">
        <v>2107</v>
      </c>
      <c r="E122" t="s">
        <v>2108</v>
      </c>
      <c r="F122" t="s">
        <v>2109</v>
      </c>
      <c r="G122" t="str">
        <f>"1026"</f>
        <v>1026</v>
      </c>
      <c r="H122" t="s">
        <v>541</v>
      </c>
      <c r="I122" t="s">
        <v>1893</v>
      </c>
      <c r="J122" t="s">
        <v>2110</v>
      </c>
      <c r="L122" s="1">
        <v>43466</v>
      </c>
      <c r="M122">
        <v>2400</v>
      </c>
      <c r="N122">
        <v>20</v>
      </c>
      <c r="O122">
        <v>5</v>
      </c>
      <c r="P122">
        <v>20</v>
      </c>
      <c r="Q122">
        <v>5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1</v>
      </c>
      <c r="JN122">
        <v>0</v>
      </c>
      <c r="JO122">
        <v>0</v>
      </c>
      <c r="JP122">
        <v>0</v>
      </c>
      <c r="JQ122">
        <v>8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1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9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</row>
    <row r="123" spans="1:467" hidden="1" x14ac:dyDescent="0.4">
      <c r="A123" t="str">
        <f>"9784907623500"</f>
        <v>9784907623500</v>
      </c>
      <c r="B123" t="str">
        <f>"490762350X"</f>
        <v>490762350X</v>
      </c>
      <c r="C123" t="s">
        <v>2111</v>
      </c>
      <c r="D123" t="s">
        <v>2112</v>
      </c>
      <c r="E123" t="s">
        <v>2113</v>
      </c>
      <c r="G123" t="str">
        <f>"0095"</f>
        <v>0095</v>
      </c>
      <c r="H123" t="s">
        <v>481</v>
      </c>
      <c r="I123" t="s">
        <v>1893</v>
      </c>
      <c r="J123" t="s">
        <v>509</v>
      </c>
      <c r="L123" s="1">
        <v>44621</v>
      </c>
      <c r="M123">
        <v>1900</v>
      </c>
      <c r="N123">
        <v>20</v>
      </c>
      <c r="O123">
        <v>1</v>
      </c>
      <c r="P123">
        <v>20</v>
      </c>
      <c r="Q123">
        <v>1</v>
      </c>
      <c r="R123">
        <v>0</v>
      </c>
      <c r="S123">
        <v>0</v>
      </c>
      <c r="T123">
        <v>0</v>
      </c>
      <c r="U123">
        <v>20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</row>
    <row r="124" spans="1:467" hidden="1" x14ac:dyDescent="0.4">
      <c r="A124" t="str">
        <f>"9784575245912"</f>
        <v>9784575245912</v>
      </c>
      <c r="B124" t="str">
        <f>"4575245917"</f>
        <v>4575245917</v>
      </c>
      <c r="C124" t="s">
        <v>2114</v>
      </c>
      <c r="D124" t="s">
        <v>2115</v>
      </c>
      <c r="E124" t="s">
        <v>807</v>
      </c>
      <c r="F124" t="s">
        <v>2116</v>
      </c>
      <c r="G124" t="str">
        <f>"0093"</f>
        <v>0093</v>
      </c>
      <c r="H124" t="s">
        <v>481</v>
      </c>
      <c r="I124" t="s">
        <v>1893</v>
      </c>
      <c r="J124" t="s">
        <v>488</v>
      </c>
      <c r="L124" s="1">
        <v>44923</v>
      </c>
      <c r="M124">
        <v>1400</v>
      </c>
      <c r="N124">
        <v>20</v>
      </c>
      <c r="O124">
        <v>1</v>
      </c>
      <c r="P124">
        <v>20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20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</row>
    <row r="125" spans="1:467" hidden="1" x14ac:dyDescent="0.4">
      <c r="A125" t="str">
        <f>"9784163916118"</f>
        <v>9784163916118</v>
      </c>
      <c r="B125" t="str">
        <f>"4163916113"</f>
        <v>4163916113</v>
      </c>
      <c r="C125" t="s">
        <v>2117</v>
      </c>
      <c r="D125" t="s">
        <v>1583</v>
      </c>
      <c r="E125" t="s">
        <v>639</v>
      </c>
      <c r="G125" t="str">
        <f>"0098"</f>
        <v>0098</v>
      </c>
      <c r="H125" t="s">
        <v>481</v>
      </c>
      <c r="I125" t="s">
        <v>1893</v>
      </c>
      <c r="J125" t="s">
        <v>1894</v>
      </c>
      <c r="L125" s="1">
        <v>44859</v>
      </c>
      <c r="M125">
        <v>2200</v>
      </c>
      <c r="N125">
        <v>20</v>
      </c>
      <c r="O125">
        <v>17</v>
      </c>
      <c r="P125">
        <v>20</v>
      </c>
      <c r="Q125">
        <v>17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1</v>
      </c>
      <c r="BF125">
        <v>0</v>
      </c>
      <c r="BG125">
        <v>1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2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1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1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1</v>
      </c>
      <c r="GJ125">
        <v>0</v>
      </c>
      <c r="GK125">
        <v>0</v>
      </c>
      <c r="GL125">
        <v>0</v>
      </c>
      <c r="GM125">
        <v>0</v>
      </c>
      <c r="GN125">
        <v>1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1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1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2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1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1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2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1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0</v>
      </c>
      <c r="NL125">
        <v>0</v>
      </c>
      <c r="NM125">
        <v>0</v>
      </c>
      <c r="NN125">
        <v>0</v>
      </c>
      <c r="NO125">
        <v>0</v>
      </c>
      <c r="NP125">
        <v>0</v>
      </c>
      <c r="NQ125">
        <v>0</v>
      </c>
      <c r="NR125">
        <v>0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1</v>
      </c>
      <c r="OU125">
        <v>0</v>
      </c>
      <c r="OV125">
        <v>0</v>
      </c>
      <c r="OW125">
        <v>0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</row>
    <row r="126" spans="1:467" hidden="1" x14ac:dyDescent="0.4">
      <c r="A126" t="str">
        <f>"9784642059633"</f>
        <v>9784642059633</v>
      </c>
      <c r="B126" t="str">
        <f>"4642059636"</f>
        <v>4642059636</v>
      </c>
      <c r="C126" t="s">
        <v>2118</v>
      </c>
      <c r="D126" t="s">
        <v>2119</v>
      </c>
      <c r="E126" t="s">
        <v>2120</v>
      </c>
      <c r="F126" t="s">
        <v>2121</v>
      </c>
      <c r="G126" t="str">
        <f>"0372"</f>
        <v>0372</v>
      </c>
      <c r="H126" t="s">
        <v>481</v>
      </c>
      <c r="I126" t="s">
        <v>1877</v>
      </c>
      <c r="J126" t="s">
        <v>1010</v>
      </c>
      <c r="L126" s="1">
        <v>44916</v>
      </c>
      <c r="M126">
        <v>1900</v>
      </c>
      <c r="N126">
        <v>20</v>
      </c>
      <c r="O126">
        <v>15</v>
      </c>
      <c r="P126">
        <v>20</v>
      </c>
      <c r="Q126">
        <v>15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4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1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1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1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1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1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1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1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2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1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1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1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1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2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1</v>
      </c>
      <c r="QU126">
        <v>0</v>
      </c>
      <c r="QV126">
        <v>0</v>
      </c>
      <c r="QW126">
        <v>0</v>
      </c>
      <c r="QX126">
        <v>0</v>
      </c>
      <c r="QY126">
        <v>0</v>
      </c>
    </row>
    <row r="127" spans="1:467" x14ac:dyDescent="0.4">
      <c r="A127" t="str">
        <f>"9784592228332"</f>
        <v>9784592228332</v>
      </c>
      <c r="B127" t="str">
        <f>"4592228332"</f>
        <v>4592228332</v>
      </c>
      <c r="C127" t="s">
        <v>2122</v>
      </c>
      <c r="D127" t="s">
        <v>2123</v>
      </c>
      <c r="E127" t="s">
        <v>1897</v>
      </c>
      <c r="F127" t="s">
        <v>2124</v>
      </c>
      <c r="G127" t="str">
        <f>"9979"</f>
        <v>9979</v>
      </c>
      <c r="H127" t="s">
        <v>1855</v>
      </c>
      <c r="I127" t="s">
        <v>1856</v>
      </c>
      <c r="J127" t="s">
        <v>1856</v>
      </c>
      <c r="L127" s="1">
        <v>44930</v>
      </c>
      <c r="M127">
        <v>600</v>
      </c>
      <c r="N127">
        <v>20</v>
      </c>
      <c r="O127">
        <v>14</v>
      </c>
      <c r="P127">
        <v>20</v>
      </c>
      <c r="Q127">
        <v>14</v>
      </c>
      <c r="R127">
        <v>0</v>
      </c>
      <c r="S127">
        <v>2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1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1</v>
      </c>
      <c r="BP127">
        <v>0</v>
      </c>
      <c r="BQ127">
        <v>1</v>
      </c>
      <c r="BR127">
        <v>0</v>
      </c>
      <c r="BS127">
        <v>0</v>
      </c>
      <c r="BT127">
        <v>1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3</v>
      </c>
      <c r="CI127">
        <v>1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1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2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3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1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1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1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0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0</v>
      </c>
      <c r="OY127">
        <v>0</v>
      </c>
      <c r="OZ127">
        <v>0</v>
      </c>
      <c r="PA127">
        <v>0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</row>
    <row r="128" spans="1:467" hidden="1" x14ac:dyDescent="0.4">
      <c r="A128" t="str">
        <f>"9784031024105"</f>
        <v>9784031024105</v>
      </c>
      <c r="B128" t="str">
        <f>"403102410X"</f>
        <v>403102410X</v>
      </c>
      <c r="C128" t="s">
        <v>2125</v>
      </c>
      <c r="D128" t="s">
        <v>2126</v>
      </c>
      <c r="E128" t="s">
        <v>2127</v>
      </c>
      <c r="F128" t="s">
        <v>2128</v>
      </c>
      <c r="G128" t="str">
        <f>"8793"</f>
        <v>8793</v>
      </c>
      <c r="H128" t="s">
        <v>1923</v>
      </c>
      <c r="I128" t="s">
        <v>1924</v>
      </c>
      <c r="J128" t="s">
        <v>488</v>
      </c>
      <c r="L128" s="1">
        <v>37073</v>
      </c>
      <c r="M128">
        <v>500</v>
      </c>
      <c r="N128">
        <v>20</v>
      </c>
      <c r="O128">
        <v>1</v>
      </c>
      <c r="P128">
        <v>20</v>
      </c>
      <c r="Q128">
        <v>1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20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0</v>
      </c>
      <c r="PB128">
        <v>0</v>
      </c>
      <c r="PC128">
        <v>0</v>
      </c>
      <c r="PD128">
        <v>0</v>
      </c>
      <c r="PE128">
        <v>0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0</v>
      </c>
      <c r="PN128">
        <v>0</v>
      </c>
      <c r="PO128">
        <v>0</v>
      </c>
      <c r="PP128">
        <v>0</v>
      </c>
      <c r="PQ128">
        <v>0</v>
      </c>
      <c r="PR128">
        <v>0</v>
      </c>
      <c r="PS128">
        <v>0</v>
      </c>
      <c r="PT128">
        <v>0</v>
      </c>
      <c r="PU128">
        <v>0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</row>
    <row r="129" spans="1:467" hidden="1" x14ac:dyDescent="0.4">
      <c r="A129" t="str">
        <f>"9784118972114"</f>
        <v>9784118972114</v>
      </c>
      <c r="B129" t="str">
        <f>"4118972115"</f>
        <v>4118972115</v>
      </c>
      <c r="C129" t="s">
        <v>2129</v>
      </c>
      <c r="D129" t="s">
        <v>2130</v>
      </c>
      <c r="E129" t="s">
        <v>1916</v>
      </c>
      <c r="F129" t="s">
        <v>1917</v>
      </c>
      <c r="G129" t="str">
        <f>"3073"</f>
        <v>3073</v>
      </c>
      <c r="H129" t="s">
        <v>761</v>
      </c>
      <c r="I129" t="s">
        <v>1893</v>
      </c>
      <c r="J129" t="s">
        <v>794</v>
      </c>
      <c r="L129" s="1">
        <v>43101</v>
      </c>
      <c r="M129">
        <v>1000</v>
      </c>
      <c r="N129">
        <v>20</v>
      </c>
      <c r="O129">
        <v>1</v>
      </c>
      <c r="P129">
        <v>20</v>
      </c>
      <c r="Q129">
        <v>1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20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0</v>
      </c>
      <c r="NK129">
        <v>0</v>
      </c>
      <c r="NL129">
        <v>0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0</v>
      </c>
      <c r="NX129">
        <v>0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</v>
      </c>
      <c r="OL129">
        <v>0</v>
      </c>
      <c r="OM129">
        <v>0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0</v>
      </c>
      <c r="OU129">
        <v>0</v>
      </c>
      <c r="OV129">
        <v>0</v>
      </c>
      <c r="OW129">
        <v>0</v>
      </c>
      <c r="OX129">
        <v>0</v>
      </c>
      <c r="OY129">
        <v>0</v>
      </c>
      <c r="OZ129">
        <v>0</v>
      </c>
      <c r="PA129">
        <v>0</v>
      </c>
      <c r="PB129">
        <v>0</v>
      </c>
      <c r="PC129">
        <v>0</v>
      </c>
      <c r="PD129">
        <v>0</v>
      </c>
      <c r="PE129">
        <v>0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0</v>
      </c>
      <c r="PL129">
        <v>0</v>
      </c>
      <c r="PM129">
        <v>0</v>
      </c>
      <c r="PN129">
        <v>0</v>
      </c>
      <c r="PO129">
        <v>0</v>
      </c>
      <c r="PP129">
        <v>0</v>
      </c>
      <c r="PQ129">
        <v>0</v>
      </c>
      <c r="PR129">
        <v>0</v>
      </c>
      <c r="PS129">
        <v>0</v>
      </c>
      <c r="PT129">
        <v>0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</row>
    <row r="130" spans="1:467" x14ac:dyDescent="0.4">
      <c r="A130" t="str">
        <f>"9784065302675"</f>
        <v>9784065302675</v>
      </c>
      <c r="B130" t="str">
        <f>"4065302676"</f>
        <v>4065302676</v>
      </c>
      <c r="C130" t="s">
        <v>2131</v>
      </c>
      <c r="D130" t="s">
        <v>2132</v>
      </c>
      <c r="E130" t="s">
        <v>548</v>
      </c>
      <c r="F130" t="s">
        <v>1947</v>
      </c>
      <c r="G130" t="str">
        <f>"9979"</f>
        <v>9979</v>
      </c>
      <c r="H130" t="s">
        <v>1855</v>
      </c>
      <c r="I130" t="s">
        <v>1856</v>
      </c>
      <c r="J130" t="s">
        <v>1856</v>
      </c>
      <c r="L130" s="1">
        <v>44949</v>
      </c>
      <c r="M130">
        <v>680</v>
      </c>
      <c r="N130">
        <v>20</v>
      </c>
      <c r="O130">
        <v>17</v>
      </c>
      <c r="P130">
        <v>20</v>
      </c>
      <c r="Q130">
        <v>17</v>
      </c>
      <c r="R130">
        <v>0</v>
      </c>
      <c r="S130">
        <v>0</v>
      </c>
      <c r="T130">
        <v>1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1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1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1</v>
      </c>
      <c r="BM130">
        <v>1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1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1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1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1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1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4</v>
      </c>
      <c r="JG130">
        <v>1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1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1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1</v>
      </c>
      <c r="NZ130">
        <v>0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0</v>
      </c>
      <c r="PF130">
        <v>0</v>
      </c>
      <c r="PG130">
        <v>0</v>
      </c>
      <c r="PH130">
        <v>0</v>
      </c>
      <c r="PI130">
        <v>0</v>
      </c>
      <c r="PJ130">
        <v>0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1</v>
      </c>
      <c r="QP130">
        <v>0</v>
      </c>
      <c r="QQ130">
        <v>1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</row>
    <row r="131" spans="1:467" x14ac:dyDescent="0.4">
      <c r="A131" t="str">
        <f>"9784088834214"</f>
        <v>9784088834214</v>
      </c>
      <c r="B131" t="str">
        <f>"4088834216"</f>
        <v>4088834216</v>
      </c>
      <c r="C131" t="s">
        <v>2133</v>
      </c>
      <c r="D131" t="s">
        <v>2134</v>
      </c>
      <c r="E131" t="s">
        <v>536</v>
      </c>
      <c r="F131" t="s">
        <v>1854</v>
      </c>
      <c r="G131" t="str">
        <f>"9979"</f>
        <v>9979</v>
      </c>
      <c r="H131" t="s">
        <v>1855</v>
      </c>
      <c r="I131" t="s">
        <v>1856</v>
      </c>
      <c r="J131" t="s">
        <v>1856</v>
      </c>
      <c r="L131" s="1">
        <v>44930</v>
      </c>
      <c r="M131">
        <v>480</v>
      </c>
      <c r="N131">
        <v>20</v>
      </c>
      <c r="O131">
        <v>14</v>
      </c>
      <c r="P131">
        <v>20</v>
      </c>
      <c r="Q131">
        <v>14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2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3</v>
      </c>
      <c r="BC131">
        <v>0</v>
      </c>
      <c r="BD131">
        <v>1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2</v>
      </c>
      <c r="CI131">
        <v>1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1</v>
      </c>
      <c r="DZ131">
        <v>0</v>
      </c>
      <c r="EA131">
        <v>0</v>
      </c>
      <c r="EB131">
        <v>1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1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2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1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2</v>
      </c>
      <c r="KW131">
        <v>1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1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0</v>
      </c>
      <c r="PQ131">
        <v>0</v>
      </c>
      <c r="PR131">
        <v>0</v>
      </c>
      <c r="PS131">
        <v>0</v>
      </c>
      <c r="PT131">
        <v>0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0</v>
      </c>
      <c r="QC131">
        <v>0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0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0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</row>
    <row r="132" spans="1:467" hidden="1" x14ac:dyDescent="0.4">
      <c r="A132" t="str">
        <f>"9784065293713"</f>
        <v>9784065293713</v>
      </c>
      <c r="B132" t="str">
        <f>"4065293715"</f>
        <v>4065293715</v>
      </c>
      <c r="C132" t="s">
        <v>2135</v>
      </c>
      <c r="D132" t="s">
        <v>2136</v>
      </c>
      <c r="E132" t="s">
        <v>548</v>
      </c>
      <c r="G132" t="str">
        <f>"0095"</f>
        <v>0095</v>
      </c>
      <c r="H132" t="s">
        <v>481</v>
      </c>
      <c r="I132" t="s">
        <v>1893</v>
      </c>
      <c r="J132" t="s">
        <v>509</v>
      </c>
      <c r="L132" s="1">
        <v>44853</v>
      </c>
      <c r="M132">
        <v>1400</v>
      </c>
      <c r="N132">
        <v>20</v>
      </c>
      <c r="O132">
        <v>17</v>
      </c>
      <c r="P132">
        <v>20</v>
      </c>
      <c r="Q132">
        <v>17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1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1</v>
      </c>
      <c r="CI132">
        <v>1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2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1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1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1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1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1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2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1</v>
      </c>
      <c r="JN132">
        <v>0</v>
      </c>
      <c r="JO132">
        <v>0</v>
      </c>
      <c r="JP132">
        <v>0</v>
      </c>
      <c r="JQ132">
        <v>1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1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1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1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0</v>
      </c>
      <c r="NL132">
        <v>0</v>
      </c>
      <c r="NM132">
        <v>0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0</v>
      </c>
      <c r="OI132">
        <v>0</v>
      </c>
      <c r="OJ132">
        <v>0</v>
      </c>
      <c r="OK132">
        <v>2</v>
      </c>
      <c r="OL132">
        <v>0</v>
      </c>
      <c r="OM132">
        <v>0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1</v>
      </c>
      <c r="OY132">
        <v>0</v>
      </c>
      <c r="OZ132">
        <v>0</v>
      </c>
      <c r="PA132">
        <v>0</v>
      </c>
      <c r="PB132">
        <v>0</v>
      </c>
      <c r="PC132">
        <v>0</v>
      </c>
      <c r="PD132">
        <v>0</v>
      </c>
      <c r="PE132">
        <v>0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0</v>
      </c>
      <c r="PL132">
        <v>0</v>
      </c>
      <c r="PM132">
        <v>0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0</v>
      </c>
      <c r="PT132">
        <v>0</v>
      </c>
      <c r="PU132">
        <v>0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</v>
      </c>
      <c r="QC132">
        <v>0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</row>
    <row r="133" spans="1:467" hidden="1" x14ac:dyDescent="0.4">
      <c r="A133" t="str">
        <f>"9784907188450"</f>
        <v>9784907188450</v>
      </c>
      <c r="B133" t="str">
        <f>"4907188455"</f>
        <v>4907188455</v>
      </c>
      <c r="C133" t="s">
        <v>2137</v>
      </c>
      <c r="D133" t="s">
        <v>2138</v>
      </c>
      <c r="E133" t="s">
        <v>2139</v>
      </c>
      <c r="G133" t="str">
        <f>"0095"</f>
        <v>0095</v>
      </c>
      <c r="H133" t="s">
        <v>481</v>
      </c>
      <c r="I133" t="s">
        <v>1893</v>
      </c>
      <c r="J133" t="s">
        <v>509</v>
      </c>
      <c r="L133" s="1">
        <v>44743</v>
      </c>
      <c r="M133">
        <v>1800</v>
      </c>
      <c r="N133">
        <v>20</v>
      </c>
      <c r="O133">
        <v>19</v>
      </c>
      <c r="P133">
        <v>20</v>
      </c>
      <c r="Q133">
        <v>19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1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2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0</v>
      </c>
      <c r="DB133">
        <v>1</v>
      </c>
      <c r="DC133">
        <v>1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1</v>
      </c>
      <c r="FU133">
        <v>0</v>
      </c>
      <c r="FV133">
        <v>0</v>
      </c>
      <c r="FW133">
        <v>0</v>
      </c>
      <c r="FX133">
        <v>1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1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1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1</v>
      </c>
      <c r="JD133">
        <v>0</v>
      </c>
      <c r="JE133">
        <v>0</v>
      </c>
      <c r="JF133">
        <v>1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1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1</v>
      </c>
      <c r="MM133">
        <v>0</v>
      </c>
      <c r="MN133">
        <v>1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0</v>
      </c>
      <c r="NL133">
        <v>0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1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1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1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1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1</v>
      </c>
      <c r="QV133">
        <v>0</v>
      </c>
      <c r="QW133">
        <v>0</v>
      </c>
      <c r="QX133">
        <v>0</v>
      </c>
      <c r="QY133">
        <v>0</v>
      </c>
    </row>
    <row r="134" spans="1:467" hidden="1" x14ac:dyDescent="0.4">
      <c r="A134" t="str">
        <f>"9784163916248"</f>
        <v>9784163916248</v>
      </c>
      <c r="B134" t="str">
        <f>"4163916245"</f>
        <v>4163916245</v>
      </c>
      <c r="C134" t="s">
        <v>2140</v>
      </c>
      <c r="D134" t="s">
        <v>2141</v>
      </c>
      <c r="E134" t="s">
        <v>639</v>
      </c>
      <c r="G134" t="str">
        <f>"0098"</f>
        <v>0098</v>
      </c>
      <c r="H134" t="s">
        <v>481</v>
      </c>
      <c r="I134" t="s">
        <v>1893</v>
      </c>
      <c r="J134" t="s">
        <v>1894</v>
      </c>
      <c r="L134" s="1">
        <v>44870</v>
      </c>
      <c r="M134">
        <v>2250</v>
      </c>
      <c r="N134">
        <v>19</v>
      </c>
      <c r="O134">
        <v>18</v>
      </c>
      <c r="P134">
        <v>19</v>
      </c>
      <c r="Q134">
        <v>18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1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2</v>
      </c>
      <c r="CI134">
        <v>1</v>
      </c>
      <c r="CJ134">
        <v>0</v>
      </c>
      <c r="CK134">
        <v>1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1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1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1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1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1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1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1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1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1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1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1</v>
      </c>
      <c r="OY134">
        <v>1</v>
      </c>
      <c r="OZ134">
        <v>0</v>
      </c>
      <c r="PA134">
        <v>0</v>
      </c>
      <c r="PB134">
        <v>0</v>
      </c>
      <c r="PC134">
        <v>0</v>
      </c>
      <c r="PD134">
        <v>0</v>
      </c>
      <c r="PE134">
        <v>0</v>
      </c>
      <c r="PF134">
        <v>0</v>
      </c>
      <c r="PG134">
        <v>0</v>
      </c>
      <c r="PH134">
        <v>0</v>
      </c>
      <c r="PI134">
        <v>1</v>
      </c>
      <c r="PJ134">
        <v>0</v>
      </c>
      <c r="PK134">
        <v>0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0</v>
      </c>
      <c r="QJ134">
        <v>0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0</v>
      </c>
      <c r="QS134">
        <v>0</v>
      </c>
      <c r="QT134">
        <v>0</v>
      </c>
      <c r="QU134">
        <v>0</v>
      </c>
      <c r="QV134">
        <v>0</v>
      </c>
      <c r="QW134">
        <v>0</v>
      </c>
      <c r="QX134">
        <v>0</v>
      </c>
      <c r="QY134">
        <v>0</v>
      </c>
    </row>
    <row r="135" spans="1:467" x14ac:dyDescent="0.4">
      <c r="A135" t="str">
        <f>"9784832272521"</f>
        <v>9784832272521</v>
      </c>
      <c r="B135" t="str">
        <f>"4832272527"</f>
        <v>4832272527</v>
      </c>
      <c r="C135" t="s">
        <v>2142</v>
      </c>
      <c r="D135" t="s">
        <v>2143</v>
      </c>
      <c r="E135" t="s">
        <v>2144</v>
      </c>
      <c r="F135" t="s">
        <v>2145</v>
      </c>
      <c r="G135" t="str">
        <f>"9979"</f>
        <v>9979</v>
      </c>
      <c r="H135" t="s">
        <v>1855</v>
      </c>
      <c r="I135" t="s">
        <v>1856</v>
      </c>
      <c r="J135" t="s">
        <v>1856</v>
      </c>
      <c r="L135" s="1">
        <v>44252</v>
      </c>
      <c r="M135">
        <v>850</v>
      </c>
      <c r="N135">
        <v>19</v>
      </c>
      <c r="O135">
        <v>7</v>
      </c>
      <c r="P135">
        <v>19</v>
      </c>
      <c r="Q135">
        <v>7</v>
      </c>
      <c r="R135">
        <v>0</v>
      </c>
      <c r="S135">
        <v>1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1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1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5</v>
      </c>
      <c r="CI135">
        <v>6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4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0</v>
      </c>
      <c r="NL135">
        <v>0</v>
      </c>
      <c r="NM135">
        <v>0</v>
      </c>
      <c r="NN135">
        <v>0</v>
      </c>
      <c r="NO135">
        <v>0</v>
      </c>
      <c r="NP135">
        <v>0</v>
      </c>
      <c r="NQ135">
        <v>0</v>
      </c>
      <c r="NR135">
        <v>0</v>
      </c>
      <c r="NS135">
        <v>0</v>
      </c>
      <c r="NT135">
        <v>0</v>
      </c>
      <c r="NU135">
        <v>0</v>
      </c>
      <c r="NV135">
        <v>0</v>
      </c>
      <c r="NW135">
        <v>0</v>
      </c>
      <c r="NX135">
        <v>0</v>
      </c>
      <c r="NY135">
        <v>1</v>
      </c>
      <c r="NZ135">
        <v>0</v>
      </c>
      <c r="OA135">
        <v>0</v>
      </c>
      <c r="OB135">
        <v>0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0</v>
      </c>
      <c r="OL135">
        <v>0</v>
      </c>
      <c r="OM135">
        <v>0</v>
      </c>
      <c r="ON135">
        <v>0</v>
      </c>
      <c r="OO135">
        <v>0</v>
      </c>
      <c r="OP135">
        <v>0</v>
      </c>
      <c r="OQ135">
        <v>0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0</v>
      </c>
      <c r="OY135">
        <v>0</v>
      </c>
      <c r="OZ135">
        <v>0</v>
      </c>
      <c r="PA135">
        <v>0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</row>
    <row r="136" spans="1:467" x14ac:dyDescent="0.4">
      <c r="A136" t="str">
        <f>"9784065231487"</f>
        <v>9784065231487</v>
      </c>
      <c r="B136" t="str">
        <f>"4065231485"</f>
        <v>4065231485</v>
      </c>
      <c r="C136" t="s">
        <v>2146</v>
      </c>
      <c r="D136" t="s">
        <v>1902</v>
      </c>
      <c r="E136" t="s">
        <v>548</v>
      </c>
      <c r="F136" t="s">
        <v>1862</v>
      </c>
      <c r="G136" t="str">
        <f>"9979"</f>
        <v>9979</v>
      </c>
      <c r="H136" t="s">
        <v>1855</v>
      </c>
      <c r="I136" t="s">
        <v>1856</v>
      </c>
      <c r="J136" t="s">
        <v>1856</v>
      </c>
      <c r="L136" s="1">
        <v>44333</v>
      </c>
      <c r="M136">
        <v>480</v>
      </c>
      <c r="N136">
        <v>19</v>
      </c>
      <c r="O136">
        <v>16</v>
      </c>
      <c r="P136">
        <v>19</v>
      </c>
      <c r="Q136">
        <v>16</v>
      </c>
      <c r="R136">
        <v>0</v>
      </c>
      <c r="S136">
        <v>0</v>
      </c>
      <c r="T136">
        <v>1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1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1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2</v>
      </c>
      <c r="BC136">
        <v>0</v>
      </c>
      <c r="BD136">
        <v>0</v>
      </c>
      <c r="BE136">
        <v>0</v>
      </c>
      <c r="BF136">
        <v>0</v>
      </c>
      <c r="BG136">
        <v>1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1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</v>
      </c>
      <c r="FP136">
        <v>0</v>
      </c>
      <c r="FQ136">
        <v>0</v>
      </c>
      <c r="FR136">
        <v>0</v>
      </c>
      <c r="FS136">
        <v>0</v>
      </c>
      <c r="FT136">
        <v>1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1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1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1</v>
      </c>
      <c r="KC136">
        <v>0</v>
      </c>
      <c r="KD136">
        <v>0</v>
      </c>
      <c r="KE136">
        <v>0</v>
      </c>
      <c r="KF136">
        <v>1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0</v>
      </c>
      <c r="OM136">
        <v>0</v>
      </c>
      <c r="ON136">
        <v>0</v>
      </c>
      <c r="OO136">
        <v>0</v>
      </c>
      <c r="OP136">
        <v>0</v>
      </c>
      <c r="OQ136">
        <v>0</v>
      </c>
      <c r="OR136">
        <v>0</v>
      </c>
      <c r="OS136">
        <v>0</v>
      </c>
      <c r="OT136">
        <v>2</v>
      </c>
      <c r="OU136">
        <v>0</v>
      </c>
      <c r="OV136">
        <v>0</v>
      </c>
      <c r="OW136">
        <v>0</v>
      </c>
      <c r="OX136">
        <v>0</v>
      </c>
      <c r="OY136">
        <v>0</v>
      </c>
      <c r="OZ136">
        <v>0</v>
      </c>
      <c r="PA136">
        <v>0</v>
      </c>
      <c r="PB136">
        <v>0</v>
      </c>
      <c r="PC136">
        <v>0</v>
      </c>
      <c r="PD136">
        <v>0</v>
      </c>
      <c r="PE136">
        <v>0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0</v>
      </c>
      <c r="PL136">
        <v>0</v>
      </c>
      <c r="PM136">
        <v>0</v>
      </c>
      <c r="PN136">
        <v>0</v>
      </c>
      <c r="PO136">
        <v>0</v>
      </c>
      <c r="PP136">
        <v>0</v>
      </c>
      <c r="PQ136">
        <v>0</v>
      </c>
      <c r="PR136">
        <v>0</v>
      </c>
      <c r="PS136">
        <v>0</v>
      </c>
      <c r="PT136">
        <v>0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</row>
    <row r="137" spans="1:467" x14ac:dyDescent="0.4">
      <c r="A137" t="str">
        <f>"9784088828435"</f>
        <v>9784088828435</v>
      </c>
      <c r="B137" t="str">
        <f>"4088828437"</f>
        <v>4088828437</v>
      </c>
      <c r="C137" t="s">
        <v>2147</v>
      </c>
      <c r="D137" t="s">
        <v>2006</v>
      </c>
      <c r="E137" t="s">
        <v>536</v>
      </c>
      <c r="F137" t="s">
        <v>1935</v>
      </c>
      <c r="G137" t="str">
        <f>"9979"</f>
        <v>9979</v>
      </c>
      <c r="H137" t="s">
        <v>1855</v>
      </c>
      <c r="I137" t="s">
        <v>1856</v>
      </c>
      <c r="J137" t="s">
        <v>1856</v>
      </c>
      <c r="L137" s="1">
        <v>44502</v>
      </c>
      <c r="M137">
        <v>480</v>
      </c>
      <c r="N137">
        <v>19</v>
      </c>
      <c r="O137">
        <v>11</v>
      </c>
      <c r="P137">
        <v>19</v>
      </c>
      <c r="Q137">
        <v>11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1</v>
      </c>
      <c r="BF137">
        <v>0</v>
      </c>
      <c r="BG137">
        <v>0</v>
      </c>
      <c r="BH137">
        <v>0</v>
      </c>
      <c r="BI137">
        <v>1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1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</v>
      </c>
      <c r="FP137">
        <v>0</v>
      </c>
      <c r="FQ137">
        <v>0</v>
      </c>
      <c r="FR137">
        <v>0</v>
      </c>
      <c r="FS137">
        <v>0</v>
      </c>
      <c r="FT137">
        <v>8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1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2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1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1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D137">
        <v>0</v>
      </c>
      <c r="NE137">
        <v>0</v>
      </c>
      <c r="NF137">
        <v>0</v>
      </c>
      <c r="NG137">
        <v>0</v>
      </c>
      <c r="NH137">
        <v>0</v>
      </c>
      <c r="NI137">
        <v>0</v>
      </c>
      <c r="NJ137">
        <v>0</v>
      </c>
      <c r="NK137">
        <v>0</v>
      </c>
      <c r="NL137">
        <v>0</v>
      </c>
      <c r="NM137">
        <v>0</v>
      </c>
      <c r="NN137">
        <v>0</v>
      </c>
      <c r="NO137">
        <v>0</v>
      </c>
      <c r="NP137">
        <v>0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1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0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</v>
      </c>
      <c r="OZ137">
        <v>0</v>
      </c>
      <c r="PA137">
        <v>0</v>
      </c>
      <c r="PB137">
        <v>0</v>
      </c>
      <c r="PC137">
        <v>0</v>
      </c>
      <c r="PD137">
        <v>0</v>
      </c>
      <c r="PE137">
        <v>0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0</v>
      </c>
      <c r="PL137">
        <v>0</v>
      </c>
      <c r="PM137">
        <v>0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0</v>
      </c>
      <c r="PT137">
        <v>0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</v>
      </c>
      <c r="QC137">
        <v>0</v>
      </c>
      <c r="QD137">
        <v>0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</row>
    <row r="138" spans="1:467" x14ac:dyDescent="0.4">
      <c r="A138" t="str">
        <f>"9784065244791"</f>
        <v>9784065244791</v>
      </c>
      <c r="B138" t="str">
        <f>"406524479X"</f>
        <v>406524479X</v>
      </c>
      <c r="C138" t="s">
        <v>2148</v>
      </c>
      <c r="D138" t="s">
        <v>1902</v>
      </c>
      <c r="E138" t="s">
        <v>548</v>
      </c>
      <c r="F138" t="s">
        <v>1862</v>
      </c>
      <c r="G138" t="str">
        <f>"9979"</f>
        <v>9979</v>
      </c>
      <c r="H138" t="s">
        <v>1855</v>
      </c>
      <c r="I138" t="s">
        <v>1856</v>
      </c>
      <c r="J138" t="s">
        <v>1856</v>
      </c>
      <c r="L138" s="1">
        <v>44425</v>
      </c>
      <c r="M138">
        <v>480</v>
      </c>
      <c r="N138">
        <v>19</v>
      </c>
      <c r="O138">
        <v>17</v>
      </c>
      <c r="P138">
        <v>19</v>
      </c>
      <c r="Q138">
        <v>17</v>
      </c>
      <c r="R138">
        <v>0</v>
      </c>
      <c r="S138">
        <v>0</v>
      </c>
      <c r="T138">
        <v>1</v>
      </c>
      <c r="U138">
        <v>0</v>
      </c>
      <c r="V138">
        <v>0</v>
      </c>
      <c r="W138">
        <v>1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1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1</v>
      </c>
      <c r="BC138">
        <v>0</v>
      </c>
      <c r="BD138">
        <v>0</v>
      </c>
      <c r="BE138">
        <v>0</v>
      </c>
      <c r="BF138">
        <v>0</v>
      </c>
      <c r="BG138">
        <v>1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1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1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2</v>
      </c>
      <c r="FP138">
        <v>0</v>
      </c>
      <c r="FQ138">
        <v>0</v>
      </c>
      <c r="FR138">
        <v>0</v>
      </c>
      <c r="FS138">
        <v>0</v>
      </c>
      <c r="FT138">
        <v>1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1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1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2</v>
      </c>
      <c r="KC138">
        <v>0</v>
      </c>
      <c r="KD138">
        <v>0</v>
      </c>
      <c r="KE138">
        <v>0</v>
      </c>
      <c r="KF138">
        <v>1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0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>
        <v>0</v>
      </c>
      <c r="OP138">
        <v>0</v>
      </c>
      <c r="OQ138">
        <v>0</v>
      </c>
      <c r="OR138">
        <v>0</v>
      </c>
      <c r="OS138">
        <v>0</v>
      </c>
      <c r="OT138">
        <v>1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0</v>
      </c>
      <c r="PI138">
        <v>0</v>
      </c>
      <c r="PJ138">
        <v>0</v>
      </c>
      <c r="PK138">
        <v>0</v>
      </c>
      <c r="PL138">
        <v>0</v>
      </c>
      <c r="PM138">
        <v>0</v>
      </c>
      <c r="PN138">
        <v>0</v>
      </c>
      <c r="PO138">
        <v>0</v>
      </c>
      <c r="PP138">
        <v>0</v>
      </c>
      <c r="PQ138">
        <v>0</v>
      </c>
      <c r="PR138">
        <v>0</v>
      </c>
      <c r="PS138">
        <v>0</v>
      </c>
      <c r="PT138">
        <v>0</v>
      </c>
      <c r="PU138">
        <v>0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</row>
    <row r="139" spans="1:467" hidden="1" x14ac:dyDescent="0.4">
      <c r="A139" t="str">
        <f>"9784081024155"</f>
        <v>9784081024155</v>
      </c>
      <c r="B139" t="str">
        <f>"4081024154"</f>
        <v>4081024154</v>
      </c>
      <c r="C139" t="s">
        <v>2149</v>
      </c>
      <c r="D139" t="s">
        <v>1219</v>
      </c>
      <c r="E139" t="s">
        <v>536</v>
      </c>
      <c r="F139" t="s">
        <v>2150</v>
      </c>
      <c r="G139" t="str">
        <f>"9476"</f>
        <v>9476</v>
      </c>
      <c r="H139" t="s">
        <v>1855</v>
      </c>
      <c r="I139" t="s">
        <v>1884</v>
      </c>
      <c r="J139" t="s">
        <v>552</v>
      </c>
      <c r="L139" s="1">
        <v>44914</v>
      </c>
      <c r="M139">
        <v>1500</v>
      </c>
      <c r="N139">
        <v>19</v>
      </c>
      <c r="O139">
        <v>16</v>
      </c>
      <c r="P139">
        <v>19</v>
      </c>
      <c r="Q139">
        <v>16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2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1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1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2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1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1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1</v>
      </c>
      <c r="JX139">
        <v>0</v>
      </c>
      <c r="JY139">
        <v>0</v>
      </c>
      <c r="JZ139">
        <v>0</v>
      </c>
      <c r="KA139">
        <v>0</v>
      </c>
      <c r="KB139">
        <v>1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1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2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0</v>
      </c>
      <c r="ON139">
        <v>0</v>
      </c>
      <c r="OO139">
        <v>0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0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</v>
      </c>
      <c r="PL139">
        <v>0</v>
      </c>
      <c r="PM139">
        <v>1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</v>
      </c>
      <c r="PU139">
        <v>0</v>
      </c>
      <c r="PV139">
        <v>0</v>
      </c>
      <c r="PW139">
        <v>0</v>
      </c>
      <c r="PX139">
        <v>0</v>
      </c>
      <c r="PY139">
        <v>0</v>
      </c>
      <c r="PZ139">
        <v>0</v>
      </c>
      <c r="QA139">
        <v>0</v>
      </c>
      <c r="QB139">
        <v>0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</v>
      </c>
      <c r="QK139">
        <v>1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</row>
    <row r="140" spans="1:467" hidden="1" x14ac:dyDescent="0.4">
      <c r="A140" t="str">
        <f>"9784344040649"</f>
        <v>9784344040649</v>
      </c>
      <c r="B140" t="str">
        <f>"4344040643"</f>
        <v>4344040643</v>
      </c>
      <c r="C140" t="s">
        <v>2151</v>
      </c>
      <c r="D140" t="s">
        <v>2152</v>
      </c>
      <c r="E140" t="s">
        <v>714</v>
      </c>
      <c r="G140" t="str">
        <f>"0095"</f>
        <v>0095</v>
      </c>
      <c r="H140" t="s">
        <v>481</v>
      </c>
      <c r="I140" t="s">
        <v>1893</v>
      </c>
      <c r="J140" t="s">
        <v>509</v>
      </c>
      <c r="L140" s="1">
        <v>44908</v>
      </c>
      <c r="M140">
        <v>1500</v>
      </c>
      <c r="N140">
        <v>19</v>
      </c>
      <c r="O140">
        <v>16</v>
      </c>
      <c r="P140">
        <v>19</v>
      </c>
      <c r="Q140">
        <v>16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1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1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1</v>
      </c>
      <c r="CZ140">
        <v>0</v>
      </c>
      <c r="DA140">
        <v>0</v>
      </c>
      <c r="DB140">
        <v>0</v>
      </c>
      <c r="DC140">
        <v>1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1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1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1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2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1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1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3</v>
      </c>
      <c r="NF140">
        <v>0</v>
      </c>
      <c r="NG140">
        <v>0</v>
      </c>
      <c r="NH140">
        <v>0</v>
      </c>
      <c r="NI140">
        <v>0</v>
      </c>
      <c r="NJ140">
        <v>0</v>
      </c>
      <c r="NK140">
        <v>0</v>
      </c>
      <c r="NL140">
        <v>0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0</v>
      </c>
      <c r="OM140">
        <v>0</v>
      </c>
      <c r="ON140">
        <v>0</v>
      </c>
      <c r="OO140">
        <v>0</v>
      </c>
      <c r="OP140">
        <v>0</v>
      </c>
      <c r="OQ140">
        <v>0</v>
      </c>
      <c r="OR140">
        <v>0</v>
      </c>
      <c r="OS140">
        <v>0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0</v>
      </c>
      <c r="PA140">
        <v>0</v>
      </c>
      <c r="PB140">
        <v>0</v>
      </c>
      <c r="PC140">
        <v>0</v>
      </c>
      <c r="PD140">
        <v>0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0</v>
      </c>
      <c r="PL140">
        <v>0</v>
      </c>
      <c r="PM140">
        <v>0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1</v>
      </c>
      <c r="PU140">
        <v>0</v>
      </c>
      <c r="PV140">
        <v>0</v>
      </c>
      <c r="PW140">
        <v>0</v>
      </c>
      <c r="PX140">
        <v>0</v>
      </c>
      <c r="PY140">
        <v>0</v>
      </c>
      <c r="PZ140">
        <v>0</v>
      </c>
      <c r="QA140">
        <v>0</v>
      </c>
      <c r="QB140">
        <v>0</v>
      </c>
      <c r="QC140">
        <v>0</v>
      </c>
      <c r="QD140">
        <v>0</v>
      </c>
      <c r="QE140">
        <v>1</v>
      </c>
      <c r="QF140">
        <v>0</v>
      </c>
      <c r="QG140">
        <v>0</v>
      </c>
      <c r="QH140">
        <v>0</v>
      </c>
      <c r="QI140">
        <v>0</v>
      </c>
      <c r="QJ140">
        <v>0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0</v>
      </c>
      <c r="QS140">
        <v>0</v>
      </c>
      <c r="QT140">
        <v>0</v>
      </c>
      <c r="QU140">
        <v>1</v>
      </c>
      <c r="QV140">
        <v>0</v>
      </c>
      <c r="QW140">
        <v>0</v>
      </c>
      <c r="QX140">
        <v>0</v>
      </c>
      <c r="QY140">
        <v>0</v>
      </c>
    </row>
    <row r="141" spans="1:467" x14ac:dyDescent="0.4">
      <c r="A141" t="str">
        <f>"9784098515844"</f>
        <v>9784098515844</v>
      </c>
      <c r="B141" t="str">
        <f>"4098515849"</f>
        <v>4098515849</v>
      </c>
      <c r="C141" t="s">
        <v>2153</v>
      </c>
      <c r="D141" t="s">
        <v>2154</v>
      </c>
      <c r="E141" t="s">
        <v>1069</v>
      </c>
      <c r="F141" t="s">
        <v>2155</v>
      </c>
      <c r="G141" t="str">
        <f>"9979"</f>
        <v>9979</v>
      </c>
      <c r="H141" t="s">
        <v>1855</v>
      </c>
      <c r="I141" t="s">
        <v>1856</v>
      </c>
      <c r="J141" t="s">
        <v>1856</v>
      </c>
      <c r="L141" s="1">
        <v>44938</v>
      </c>
      <c r="M141">
        <v>650</v>
      </c>
      <c r="N141">
        <v>19</v>
      </c>
      <c r="O141">
        <v>17</v>
      </c>
      <c r="P141">
        <v>19</v>
      </c>
      <c r="Q141">
        <v>17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1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1</v>
      </c>
      <c r="BQ141">
        <v>1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1</v>
      </c>
      <c r="CI141">
        <v>1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1</v>
      </c>
      <c r="DE141">
        <v>0</v>
      </c>
      <c r="DF141">
        <v>1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1</v>
      </c>
      <c r="IW141">
        <v>1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2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1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1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1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D141">
        <v>0</v>
      </c>
      <c r="NE141">
        <v>0</v>
      </c>
      <c r="NF141">
        <v>0</v>
      </c>
      <c r="NG141">
        <v>0</v>
      </c>
      <c r="NH141">
        <v>0</v>
      </c>
      <c r="NI141">
        <v>0</v>
      </c>
      <c r="NJ141">
        <v>0</v>
      </c>
      <c r="NK141">
        <v>0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0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0</v>
      </c>
      <c r="OM141">
        <v>0</v>
      </c>
      <c r="ON141">
        <v>0</v>
      </c>
      <c r="OO141">
        <v>2</v>
      </c>
      <c r="OP141">
        <v>0</v>
      </c>
      <c r="OQ141">
        <v>0</v>
      </c>
      <c r="OR141">
        <v>0</v>
      </c>
      <c r="OS141">
        <v>0</v>
      </c>
      <c r="OT141">
        <v>0</v>
      </c>
      <c r="OU141">
        <v>0</v>
      </c>
      <c r="OV141">
        <v>0</v>
      </c>
      <c r="OW141">
        <v>0</v>
      </c>
      <c r="OX141">
        <v>0</v>
      </c>
      <c r="OY141">
        <v>0</v>
      </c>
      <c r="OZ141">
        <v>1</v>
      </c>
      <c r="PA141">
        <v>0</v>
      </c>
      <c r="PB141">
        <v>0</v>
      </c>
      <c r="PC141">
        <v>0</v>
      </c>
      <c r="PD141">
        <v>0</v>
      </c>
      <c r="PE141">
        <v>0</v>
      </c>
      <c r="PF141">
        <v>0</v>
      </c>
      <c r="PG141">
        <v>0</v>
      </c>
      <c r="PH141">
        <v>0</v>
      </c>
      <c r="PI141">
        <v>0</v>
      </c>
      <c r="PJ141">
        <v>0</v>
      </c>
      <c r="PK141">
        <v>1</v>
      </c>
      <c r="PL141">
        <v>0</v>
      </c>
      <c r="PM141">
        <v>0</v>
      </c>
      <c r="PN141">
        <v>0</v>
      </c>
      <c r="PO141">
        <v>0</v>
      </c>
      <c r="PP141">
        <v>0</v>
      </c>
      <c r="PQ141">
        <v>0</v>
      </c>
      <c r="PR141">
        <v>0</v>
      </c>
      <c r="PS141">
        <v>0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</v>
      </c>
      <c r="QC141">
        <v>0</v>
      </c>
      <c r="QD141">
        <v>0</v>
      </c>
      <c r="QE141">
        <v>0</v>
      </c>
      <c r="QF141">
        <v>0</v>
      </c>
      <c r="QG141">
        <v>0</v>
      </c>
      <c r="QH141">
        <v>0</v>
      </c>
      <c r="QI141">
        <v>0</v>
      </c>
      <c r="QJ141">
        <v>0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0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</row>
    <row r="142" spans="1:467" x14ac:dyDescent="0.4">
      <c r="A142" t="str">
        <f>"9784065220733"</f>
        <v>9784065220733</v>
      </c>
      <c r="B142" t="str">
        <f>"4065220734"</f>
        <v>4065220734</v>
      </c>
      <c r="C142" t="s">
        <v>2156</v>
      </c>
      <c r="D142" t="s">
        <v>1902</v>
      </c>
      <c r="E142" t="s">
        <v>548</v>
      </c>
      <c r="F142" t="s">
        <v>1862</v>
      </c>
      <c r="G142" t="str">
        <f>"9979"</f>
        <v>9979</v>
      </c>
      <c r="H142" t="s">
        <v>1855</v>
      </c>
      <c r="I142" t="s">
        <v>1856</v>
      </c>
      <c r="J142" t="s">
        <v>1856</v>
      </c>
      <c r="L142" s="1">
        <v>44272</v>
      </c>
      <c r="M142">
        <v>480</v>
      </c>
      <c r="N142">
        <v>19</v>
      </c>
      <c r="O142">
        <v>15</v>
      </c>
      <c r="P142">
        <v>19</v>
      </c>
      <c r="Q142">
        <v>15</v>
      </c>
      <c r="R142">
        <v>0</v>
      </c>
      <c r="S142">
        <v>0</v>
      </c>
      <c r="T142">
        <v>1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1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1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2</v>
      </c>
      <c r="BC142">
        <v>0</v>
      </c>
      <c r="BD142">
        <v>0</v>
      </c>
      <c r="BE142">
        <v>0</v>
      </c>
      <c r="BF142">
        <v>0</v>
      </c>
      <c r="BG142">
        <v>1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1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2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1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1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2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1</v>
      </c>
      <c r="KC142">
        <v>0</v>
      </c>
      <c r="KD142">
        <v>0</v>
      </c>
      <c r="KE142">
        <v>0</v>
      </c>
      <c r="KF142">
        <v>1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</v>
      </c>
      <c r="OT142">
        <v>2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0</v>
      </c>
      <c r="PB142">
        <v>0</v>
      </c>
      <c r="PC142">
        <v>0</v>
      </c>
      <c r="PD142">
        <v>0</v>
      </c>
      <c r="PE142">
        <v>0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0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</row>
    <row r="143" spans="1:467" x14ac:dyDescent="0.4">
      <c r="A143" t="str">
        <f>"9784065294895"</f>
        <v>9784065294895</v>
      </c>
      <c r="B143" t="str">
        <f>"4065294894"</f>
        <v>4065294894</v>
      </c>
      <c r="C143" t="s">
        <v>2157</v>
      </c>
      <c r="D143" t="s">
        <v>1902</v>
      </c>
      <c r="E143" t="s">
        <v>548</v>
      </c>
      <c r="F143" t="s">
        <v>1862</v>
      </c>
      <c r="G143" t="str">
        <f>"9979"</f>
        <v>9979</v>
      </c>
      <c r="H143" t="s">
        <v>1855</v>
      </c>
      <c r="I143" t="s">
        <v>1856</v>
      </c>
      <c r="J143" t="s">
        <v>1856</v>
      </c>
      <c r="L143" s="1">
        <v>44851</v>
      </c>
      <c r="M143">
        <v>480</v>
      </c>
      <c r="N143">
        <v>19</v>
      </c>
      <c r="O143">
        <v>14</v>
      </c>
      <c r="P143">
        <v>19</v>
      </c>
      <c r="Q143">
        <v>14</v>
      </c>
      <c r="R143">
        <v>0</v>
      </c>
      <c r="S143">
        <v>0</v>
      </c>
      <c r="T143">
        <v>2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1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1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3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1</v>
      </c>
      <c r="FP143">
        <v>0</v>
      </c>
      <c r="FQ143">
        <v>0</v>
      </c>
      <c r="FR143">
        <v>0</v>
      </c>
      <c r="FS143">
        <v>0</v>
      </c>
      <c r="FT143">
        <v>1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3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1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1</v>
      </c>
      <c r="KC143">
        <v>0</v>
      </c>
      <c r="KD143">
        <v>0</v>
      </c>
      <c r="KE143">
        <v>0</v>
      </c>
      <c r="KF143">
        <v>1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1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1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</v>
      </c>
      <c r="PL143">
        <v>0</v>
      </c>
      <c r="PM143">
        <v>0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1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</row>
    <row r="144" spans="1:467" x14ac:dyDescent="0.4">
      <c r="A144" t="str">
        <f>"9784065185599"</f>
        <v>9784065185599</v>
      </c>
      <c r="B144" t="str">
        <f>"4065185599"</f>
        <v>4065185599</v>
      </c>
      <c r="C144" t="s">
        <v>2158</v>
      </c>
      <c r="D144" t="s">
        <v>1902</v>
      </c>
      <c r="E144" t="s">
        <v>548</v>
      </c>
      <c r="F144" t="s">
        <v>1862</v>
      </c>
      <c r="G144" t="str">
        <f>"9979"</f>
        <v>9979</v>
      </c>
      <c r="H144" t="s">
        <v>1855</v>
      </c>
      <c r="I144" t="s">
        <v>1856</v>
      </c>
      <c r="J144" t="s">
        <v>1856</v>
      </c>
      <c r="L144" s="1">
        <v>43907</v>
      </c>
      <c r="M144">
        <v>480</v>
      </c>
      <c r="N144">
        <v>19</v>
      </c>
      <c r="O144">
        <v>16</v>
      </c>
      <c r="P144">
        <v>19</v>
      </c>
      <c r="Q144">
        <v>16</v>
      </c>
      <c r="R144">
        <v>0</v>
      </c>
      <c r="S144">
        <v>0</v>
      </c>
      <c r="T144">
        <v>1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2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1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1</v>
      </c>
      <c r="BC144">
        <v>0</v>
      </c>
      <c r="BD144">
        <v>0</v>
      </c>
      <c r="BE144">
        <v>0</v>
      </c>
      <c r="BF144">
        <v>0</v>
      </c>
      <c r="BG144">
        <v>1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1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2</v>
      </c>
      <c r="FU144">
        <v>0</v>
      </c>
      <c r="FV144">
        <v>0</v>
      </c>
      <c r="FW144">
        <v>0</v>
      </c>
      <c r="FX144">
        <v>0</v>
      </c>
      <c r="FY144">
        <v>1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1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1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2</v>
      </c>
      <c r="KC144">
        <v>0</v>
      </c>
      <c r="KD144">
        <v>0</v>
      </c>
      <c r="KE144">
        <v>0</v>
      </c>
      <c r="KF144">
        <v>1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0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0</v>
      </c>
      <c r="OH144">
        <v>0</v>
      </c>
      <c r="OI144">
        <v>0</v>
      </c>
      <c r="OJ144">
        <v>0</v>
      </c>
      <c r="OK144">
        <v>0</v>
      </c>
      <c r="OL144">
        <v>0</v>
      </c>
      <c r="OM144">
        <v>0</v>
      </c>
      <c r="ON144">
        <v>0</v>
      </c>
      <c r="OO144">
        <v>0</v>
      </c>
      <c r="OP144">
        <v>0</v>
      </c>
      <c r="OQ144">
        <v>0</v>
      </c>
      <c r="OR144">
        <v>0</v>
      </c>
      <c r="OS144">
        <v>0</v>
      </c>
      <c r="OT144">
        <v>1</v>
      </c>
      <c r="OU144">
        <v>0</v>
      </c>
      <c r="OV144">
        <v>0</v>
      </c>
      <c r="OW144">
        <v>0</v>
      </c>
      <c r="OX144">
        <v>0</v>
      </c>
      <c r="OY144">
        <v>0</v>
      </c>
      <c r="OZ144">
        <v>0</v>
      </c>
      <c r="PA144">
        <v>0</v>
      </c>
      <c r="PB144">
        <v>0</v>
      </c>
      <c r="PC144">
        <v>0</v>
      </c>
      <c r="PD144">
        <v>0</v>
      </c>
      <c r="PE144">
        <v>0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0</v>
      </c>
      <c r="PL144">
        <v>0</v>
      </c>
      <c r="PM144">
        <v>0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</row>
    <row r="145" spans="1:467" hidden="1" x14ac:dyDescent="0.4">
      <c r="A145" t="str">
        <f>"9784797674026"</f>
        <v>9784797674026</v>
      </c>
      <c r="B145" t="str">
        <f>"4797674024"</f>
        <v>4797674024</v>
      </c>
      <c r="C145" t="s">
        <v>2159</v>
      </c>
      <c r="D145" t="s">
        <v>2160</v>
      </c>
      <c r="E145" t="s">
        <v>1150</v>
      </c>
      <c r="G145" t="str">
        <f>"0095"</f>
        <v>0095</v>
      </c>
      <c r="H145" t="s">
        <v>481</v>
      </c>
      <c r="I145" t="s">
        <v>1893</v>
      </c>
      <c r="J145" t="s">
        <v>509</v>
      </c>
      <c r="L145" s="1">
        <v>44889</v>
      </c>
      <c r="M145">
        <v>1800</v>
      </c>
      <c r="N145">
        <v>19</v>
      </c>
      <c r="O145">
        <v>18</v>
      </c>
      <c r="P145">
        <v>19</v>
      </c>
      <c r="Q145">
        <v>18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1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1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1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1</v>
      </c>
      <c r="FP145">
        <v>0</v>
      </c>
      <c r="FQ145">
        <v>0</v>
      </c>
      <c r="FR145">
        <v>0</v>
      </c>
      <c r="FS145">
        <v>0</v>
      </c>
      <c r="FT145">
        <v>1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1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1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1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1</v>
      </c>
      <c r="MN145">
        <v>1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1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1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1</v>
      </c>
      <c r="OH145">
        <v>0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1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0</v>
      </c>
      <c r="PL145">
        <v>0</v>
      </c>
      <c r="PM145">
        <v>0</v>
      </c>
      <c r="PN145">
        <v>0</v>
      </c>
      <c r="PO145">
        <v>0</v>
      </c>
      <c r="PP145">
        <v>0</v>
      </c>
      <c r="PQ145">
        <v>0</v>
      </c>
      <c r="PR145">
        <v>0</v>
      </c>
      <c r="PS145">
        <v>0</v>
      </c>
      <c r="PT145">
        <v>0</v>
      </c>
      <c r="PU145">
        <v>0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1</v>
      </c>
      <c r="QB145">
        <v>0</v>
      </c>
      <c r="QC145">
        <v>0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2</v>
      </c>
      <c r="QJ145">
        <v>0</v>
      </c>
      <c r="QK145">
        <v>0</v>
      </c>
      <c r="QL145">
        <v>0</v>
      </c>
      <c r="QM145">
        <v>0</v>
      </c>
      <c r="QN145">
        <v>0</v>
      </c>
      <c r="QO145">
        <v>0</v>
      </c>
      <c r="QP145">
        <v>0</v>
      </c>
      <c r="QQ145">
        <v>0</v>
      </c>
      <c r="QR145">
        <v>0</v>
      </c>
      <c r="QS145">
        <v>0</v>
      </c>
      <c r="QT145">
        <v>0</v>
      </c>
      <c r="QU145">
        <v>0</v>
      </c>
      <c r="QV145">
        <v>0</v>
      </c>
      <c r="QW145">
        <v>0</v>
      </c>
      <c r="QX145">
        <v>0</v>
      </c>
      <c r="QY145">
        <v>0</v>
      </c>
    </row>
    <row r="146" spans="1:467" hidden="1" x14ac:dyDescent="0.4">
      <c r="A146" t="str">
        <f>"9784142231485"</f>
        <v>9784142231485</v>
      </c>
      <c r="B146" t="str">
        <f>"4142231480"</f>
        <v>4142231480</v>
      </c>
      <c r="C146" t="s">
        <v>2161</v>
      </c>
      <c r="D146" t="s">
        <v>2162</v>
      </c>
      <c r="E146" t="s">
        <v>480</v>
      </c>
      <c r="F146" t="s">
        <v>2163</v>
      </c>
      <c r="G146" t="str">
        <f>"9493"</f>
        <v>9493</v>
      </c>
      <c r="H146" t="s">
        <v>1855</v>
      </c>
      <c r="I146" t="s">
        <v>1884</v>
      </c>
      <c r="J146" t="s">
        <v>488</v>
      </c>
      <c r="L146" s="1">
        <v>44950</v>
      </c>
      <c r="M146">
        <v>545</v>
      </c>
      <c r="N146">
        <v>19</v>
      </c>
      <c r="O146">
        <v>16</v>
      </c>
      <c r="P146">
        <v>19</v>
      </c>
      <c r="Q146">
        <v>16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0</v>
      </c>
      <c r="AL146">
        <v>1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2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1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1</v>
      </c>
      <c r="CI146">
        <v>0</v>
      </c>
      <c r="CJ146">
        <v>0</v>
      </c>
      <c r="CK146">
        <v>1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1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1</v>
      </c>
      <c r="GJ146">
        <v>0</v>
      </c>
      <c r="GK146">
        <v>0</v>
      </c>
      <c r="GL146">
        <v>0</v>
      </c>
      <c r="GM146">
        <v>0</v>
      </c>
      <c r="GN146">
        <v>1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1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1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2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1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2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</row>
    <row r="147" spans="1:467" x14ac:dyDescent="0.4">
      <c r="A147" t="str">
        <f>"9784088824635"</f>
        <v>9784088824635</v>
      </c>
      <c r="B147" t="str">
        <f>"4088824636"</f>
        <v>4088824636</v>
      </c>
      <c r="C147" t="s">
        <v>2164</v>
      </c>
      <c r="D147" t="s">
        <v>2006</v>
      </c>
      <c r="E147" t="s">
        <v>536</v>
      </c>
      <c r="F147" t="s">
        <v>1935</v>
      </c>
      <c r="G147" t="str">
        <f>"9979"</f>
        <v>9979</v>
      </c>
      <c r="H147" t="s">
        <v>1855</v>
      </c>
      <c r="I147" t="s">
        <v>1856</v>
      </c>
      <c r="J147" t="s">
        <v>1856</v>
      </c>
      <c r="L147" s="1">
        <v>44076</v>
      </c>
      <c r="M147">
        <v>480</v>
      </c>
      <c r="N147">
        <v>18</v>
      </c>
      <c r="O147">
        <v>12</v>
      </c>
      <c r="P147">
        <v>18</v>
      </c>
      <c r="Q147">
        <v>12</v>
      </c>
      <c r="R147">
        <v>0</v>
      </c>
      <c r="S147">
        <v>0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1</v>
      </c>
      <c r="BF147">
        <v>0</v>
      </c>
      <c r="BG147">
        <v>0</v>
      </c>
      <c r="BH147">
        <v>0</v>
      </c>
      <c r="BI147">
        <v>1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1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1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1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0</v>
      </c>
      <c r="FQ147">
        <v>0</v>
      </c>
      <c r="FR147">
        <v>0</v>
      </c>
      <c r="FS147">
        <v>0</v>
      </c>
      <c r="FT147">
        <v>6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2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1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1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0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0</v>
      </c>
      <c r="PT147">
        <v>0</v>
      </c>
      <c r="PU147">
        <v>0</v>
      </c>
      <c r="PV147">
        <v>0</v>
      </c>
      <c r="PW147">
        <v>0</v>
      </c>
      <c r="PX147">
        <v>0</v>
      </c>
      <c r="PY147">
        <v>0</v>
      </c>
      <c r="PZ147">
        <v>0</v>
      </c>
      <c r="QA147">
        <v>0</v>
      </c>
      <c r="QB147">
        <v>0</v>
      </c>
      <c r="QC147">
        <v>0</v>
      </c>
      <c r="QD147">
        <v>0</v>
      </c>
      <c r="QE147">
        <v>0</v>
      </c>
      <c r="QF147">
        <v>0</v>
      </c>
      <c r="QG147">
        <v>0</v>
      </c>
      <c r="QH147">
        <v>0</v>
      </c>
      <c r="QI147">
        <v>0</v>
      </c>
      <c r="QJ147">
        <v>0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0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</row>
    <row r="148" spans="1:467" hidden="1" x14ac:dyDescent="0.4">
      <c r="A148" t="str">
        <f>"9784065308080"</f>
        <v>9784065308080</v>
      </c>
      <c r="B148" t="str">
        <f>"4065308089"</f>
        <v>4065308089</v>
      </c>
      <c r="C148" t="s">
        <v>2165</v>
      </c>
      <c r="D148" t="s">
        <v>2166</v>
      </c>
      <c r="E148" t="s">
        <v>548</v>
      </c>
      <c r="G148" t="str">
        <f>"0072"</f>
        <v>0072</v>
      </c>
      <c r="H148" t="s">
        <v>481</v>
      </c>
      <c r="I148" t="s">
        <v>1893</v>
      </c>
      <c r="J148" t="s">
        <v>1010</v>
      </c>
      <c r="L148" s="1">
        <v>44950</v>
      </c>
      <c r="M148">
        <v>2000</v>
      </c>
      <c r="N148">
        <v>18</v>
      </c>
      <c r="O148">
        <v>9</v>
      </c>
      <c r="P148">
        <v>18</v>
      </c>
      <c r="Q148">
        <v>9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3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4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1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3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1</v>
      </c>
      <c r="JN148">
        <v>0</v>
      </c>
      <c r="JO148">
        <v>0</v>
      </c>
      <c r="JP148">
        <v>0</v>
      </c>
      <c r="JQ148">
        <v>2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1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2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</v>
      </c>
      <c r="PL148">
        <v>0</v>
      </c>
      <c r="PM148">
        <v>0</v>
      </c>
      <c r="PN148">
        <v>0</v>
      </c>
      <c r="PO148">
        <v>0</v>
      </c>
      <c r="PP148">
        <v>0</v>
      </c>
      <c r="PQ148">
        <v>0</v>
      </c>
      <c r="PR148">
        <v>0</v>
      </c>
      <c r="PS148">
        <v>0</v>
      </c>
      <c r="PT148">
        <v>0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1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</row>
    <row r="149" spans="1:467" hidden="1" x14ac:dyDescent="0.4">
      <c r="A149" t="str">
        <f>"9784065274095"</f>
        <v>9784065274095</v>
      </c>
      <c r="B149" t="str">
        <f>"4065274095"</f>
        <v>4065274095</v>
      </c>
      <c r="C149" t="s">
        <v>2167</v>
      </c>
      <c r="D149" t="s">
        <v>2168</v>
      </c>
      <c r="E149" t="s">
        <v>548</v>
      </c>
      <c r="G149" t="str">
        <f>"0093"</f>
        <v>0093</v>
      </c>
      <c r="H149" t="s">
        <v>481</v>
      </c>
      <c r="I149" t="s">
        <v>1893</v>
      </c>
      <c r="J149" t="s">
        <v>488</v>
      </c>
      <c r="L149" s="1">
        <v>44644</v>
      </c>
      <c r="M149">
        <v>1400</v>
      </c>
      <c r="N149">
        <v>18</v>
      </c>
      <c r="O149">
        <v>13</v>
      </c>
      <c r="P149">
        <v>18</v>
      </c>
      <c r="Q149">
        <v>13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1</v>
      </c>
      <c r="AH149">
        <v>0</v>
      </c>
      <c r="AI149">
        <v>1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1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2</v>
      </c>
      <c r="CI149">
        <v>1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1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1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1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4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1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</v>
      </c>
      <c r="NK149">
        <v>0</v>
      </c>
      <c r="NL149">
        <v>0</v>
      </c>
      <c r="NM149">
        <v>0</v>
      </c>
      <c r="NN149">
        <v>0</v>
      </c>
      <c r="NO149">
        <v>0</v>
      </c>
      <c r="NP149">
        <v>0</v>
      </c>
      <c r="NQ149">
        <v>0</v>
      </c>
      <c r="NR149">
        <v>0</v>
      </c>
      <c r="NS149">
        <v>0</v>
      </c>
      <c r="NT149">
        <v>0</v>
      </c>
      <c r="NU149">
        <v>0</v>
      </c>
      <c r="NV149">
        <v>0</v>
      </c>
      <c r="NW149">
        <v>0</v>
      </c>
      <c r="NX149">
        <v>0</v>
      </c>
      <c r="NY149">
        <v>1</v>
      </c>
      <c r="NZ149">
        <v>0</v>
      </c>
      <c r="OA149">
        <v>0</v>
      </c>
      <c r="OB149">
        <v>0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0</v>
      </c>
      <c r="OR149">
        <v>0</v>
      </c>
      <c r="OS149">
        <v>2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0</v>
      </c>
      <c r="PB149">
        <v>0</v>
      </c>
      <c r="PC149">
        <v>0</v>
      </c>
      <c r="PD149">
        <v>0</v>
      </c>
      <c r="PE149">
        <v>0</v>
      </c>
      <c r="PF149">
        <v>0</v>
      </c>
      <c r="PG149">
        <v>0</v>
      </c>
      <c r="PH149">
        <v>0</v>
      </c>
      <c r="PI149">
        <v>0</v>
      </c>
      <c r="PJ149">
        <v>0</v>
      </c>
      <c r="PK149">
        <v>1</v>
      </c>
      <c r="PL149">
        <v>0</v>
      </c>
      <c r="PM149">
        <v>0</v>
      </c>
      <c r="PN149">
        <v>0</v>
      </c>
      <c r="PO149">
        <v>0</v>
      </c>
      <c r="PP149">
        <v>0</v>
      </c>
      <c r="PQ149">
        <v>0</v>
      </c>
      <c r="PR149">
        <v>0</v>
      </c>
      <c r="PS149">
        <v>0</v>
      </c>
      <c r="PT149">
        <v>0</v>
      </c>
      <c r="PU149">
        <v>0</v>
      </c>
      <c r="PV149">
        <v>0</v>
      </c>
      <c r="PW149">
        <v>0</v>
      </c>
      <c r="PX149">
        <v>0</v>
      </c>
      <c r="PY149">
        <v>0</v>
      </c>
      <c r="PZ149">
        <v>0</v>
      </c>
      <c r="QA149">
        <v>0</v>
      </c>
      <c r="QB149">
        <v>0</v>
      </c>
      <c r="QC149">
        <v>0</v>
      </c>
      <c r="QD149">
        <v>0</v>
      </c>
      <c r="QE149">
        <v>0</v>
      </c>
      <c r="QF149">
        <v>0</v>
      </c>
      <c r="QG149">
        <v>0</v>
      </c>
      <c r="QH149">
        <v>0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0</v>
      </c>
      <c r="QY149">
        <v>0</v>
      </c>
    </row>
    <row r="150" spans="1:467" x14ac:dyDescent="0.4">
      <c r="A150" t="str">
        <f>"9784088830681"</f>
        <v>9784088830681</v>
      </c>
      <c r="B150" t="str">
        <f>"4088830687"</f>
        <v>4088830687</v>
      </c>
      <c r="C150" t="s">
        <v>2169</v>
      </c>
      <c r="D150" t="s">
        <v>1869</v>
      </c>
      <c r="E150" t="s">
        <v>536</v>
      </c>
      <c r="F150" t="s">
        <v>1854</v>
      </c>
      <c r="G150" t="str">
        <f>"9979"</f>
        <v>9979</v>
      </c>
      <c r="H150" t="s">
        <v>1855</v>
      </c>
      <c r="I150" t="s">
        <v>1856</v>
      </c>
      <c r="J150" t="s">
        <v>1856</v>
      </c>
      <c r="L150" s="1">
        <v>44655</v>
      </c>
      <c r="M150">
        <v>440</v>
      </c>
      <c r="N150">
        <v>18</v>
      </c>
      <c r="O150">
        <v>14</v>
      </c>
      <c r="P150">
        <v>18</v>
      </c>
      <c r="Q150">
        <v>14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2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1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1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1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2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1</v>
      </c>
      <c r="JO150">
        <v>0</v>
      </c>
      <c r="JP150">
        <v>1</v>
      </c>
      <c r="JQ150">
        <v>0</v>
      </c>
      <c r="JR150">
        <v>1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2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1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1</v>
      </c>
      <c r="MA150">
        <v>0</v>
      </c>
      <c r="MB150">
        <v>0</v>
      </c>
      <c r="MC150">
        <v>0</v>
      </c>
      <c r="MD150">
        <v>1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1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0</v>
      </c>
      <c r="NL150">
        <v>0</v>
      </c>
      <c r="NM150">
        <v>0</v>
      </c>
      <c r="NN150">
        <v>0</v>
      </c>
      <c r="NO150">
        <v>0</v>
      </c>
      <c r="NP150">
        <v>0</v>
      </c>
      <c r="NQ150">
        <v>0</v>
      </c>
      <c r="NR150">
        <v>0</v>
      </c>
      <c r="NS150">
        <v>0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2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0</v>
      </c>
      <c r="OH150">
        <v>0</v>
      </c>
      <c r="OI150">
        <v>0</v>
      </c>
      <c r="OJ150">
        <v>0</v>
      </c>
      <c r="OK150">
        <v>0</v>
      </c>
      <c r="OL150">
        <v>0</v>
      </c>
      <c r="OM150">
        <v>0</v>
      </c>
      <c r="ON150">
        <v>0</v>
      </c>
      <c r="OO150">
        <v>0</v>
      </c>
      <c r="OP150">
        <v>0</v>
      </c>
      <c r="OQ150">
        <v>0</v>
      </c>
      <c r="OR150">
        <v>0</v>
      </c>
      <c r="OS150">
        <v>0</v>
      </c>
      <c r="OT150">
        <v>0</v>
      </c>
      <c r="OU150">
        <v>0</v>
      </c>
      <c r="OV150">
        <v>0</v>
      </c>
      <c r="OW150">
        <v>0</v>
      </c>
      <c r="OX150">
        <v>0</v>
      </c>
      <c r="OY150">
        <v>0</v>
      </c>
      <c r="OZ150">
        <v>0</v>
      </c>
      <c r="PA150">
        <v>0</v>
      </c>
      <c r="PB150">
        <v>0</v>
      </c>
      <c r="PC150">
        <v>0</v>
      </c>
      <c r="PD150">
        <v>0</v>
      </c>
      <c r="PE150">
        <v>0</v>
      </c>
      <c r="PF150">
        <v>0</v>
      </c>
      <c r="PG150">
        <v>0</v>
      </c>
      <c r="PH150">
        <v>0</v>
      </c>
      <c r="PI150">
        <v>0</v>
      </c>
      <c r="PJ150">
        <v>0</v>
      </c>
      <c r="PK150">
        <v>0</v>
      </c>
      <c r="PL150">
        <v>0</v>
      </c>
      <c r="PM150">
        <v>0</v>
      </c>
      <c r="PN150">
        <v>0</v>
      </c>
      <c r="PO150">
        <v>0</v>
      </c>
      <c r="PP150">
        <v>0</v>
      </c>
      <c r="PQ150">
        <v>0</v>
      </c>
      <c r="PR150">
        <v>0</v>
      </c>
      <c r="PS150">
        <v>0</v>
      </c>
      <c r="PT150">
        <v>0</v>
      </c>
      <c r="PU150">
        <v>0</v>
      </c>
      <c r="PV150">
        <v>0</v>
      </c>
      <c r="PW150">
        <v>0</v>
      </c>
      <c r="PX150">
        <v>0</v>
      </c>
      <c r="PY150">
        <v>0</v>
      </c>
      <c r="PZ150">
        <v>0</v>
      </c>
      <c r="QA150">
        <v>0</v>
      </c>
      <c r="QB150">
        <v>0</v>
      </c>
      <c r="QC150">
        <v>0</v>
      </c>
      <c r="QD150">
        <v>0</v>
      </c>
      <c r="QE150">
        <v>0</v>
      </c>
      <c r="QF150">
        <v>0</v>
      </c>
      <c r="QG150">
        <v>0</v>
      </c>
      <c r="QH150">
        <v>0</v>
      </c>
      <c r="QI150">
        <v>0</v>
      </c>
      <c r="QJ150">
        <v>0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0</v>
      </c>
      <c r="QY150">
        <v>0</v>
      </c>
    </row>
    <row r="151" spans="1:467" hidden="1" x14ac:dyDescent="0.4">
      <c r="A151" t="str">
        <f>"9784103522348"</f>
        <v>9784103522348</v>
      </c>
      <c r="B151" t="str">
        <f>"4103522348"</f>
        <v>4103522348</v>
      </c>
      <c r="C151" t="s">
        <v>2170</v>
      </c>
      <c r="D151" t="s">
        <v>2171</v>
      </c>
      <c r="E151" t="s">
        <v>516</v>
      </c>
      <c r="G151" t="str">
        <f>"0093"</f>
        <v>0093</v>
      </c>
      <c r="H151" t="s">
        <v>481</v>
      </c>
      <c r="I151" t="s">
        <v>1893</v>
      </c>
      <c r="J151" t="s">
        <v>488</v>
      </c>
      <c r="L151" s="1">
        <v>44741</v>
      </c>
      <c r="M151">
        <v>1550</v>
      </c>
      <c r="N151">
        <v>18</v>
      </c>
      <c r="O151">
        <v>16</v>
      </c>
      <c r="P151">
        <v>18</v>
      </c>
      <c r="Q151">
        <v>16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1</v>
      </c>
      <c r="AF151">
        <v>0</v>
      </c>
      <c r="AG151">
        <v>0</v>
      </c>
      <c r="AH151">
        <v>0</v>
      </c>
      <c r="AI151">
        <v>1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2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1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1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1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1</v>
      </c>
      <c r="IM151">
        <v>0</v>
      </c>
      <c r="IN151">
        <v>1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2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0</v>
      </c>
      <c r="MS151">
        <v>0</v>
      </c>
      <c r="MT151">
        <v>0</v>
      </c>
      <c r="MU151">
        <v>0</v>
      </c>
      <c r="MV151">
        <v>0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</v>
      </c>
      <c r="NE151">
        <v>1</v>
      </c>
      <c r="NF151">
        <v>0</v>
      </c>
      <c r="NG151">
        <v>0</v>
      </c>
      <c r="NH151">
        <v>0</v>
      </c>
      <c r="NI151">
        <v>0</v>
      </c>
      <c r="NJ151">
        <v>0</v>
      </c>
      <c r="NK151">
        <v>0</v>
      </c>
      <c r="NL151">
        <v>0</v>
      </c>
      <c r="NM151">
        <v>0</v>
      </c>
      <c r="NN151">
        <v>0</v>
      </c>
      <c r="NO151">
        <v>0</v>
      </c>
      <c r="NP151">
        <v>0</v>
      </c>
      <c r="NQ151">
        <v>0</v>
      </c>
      <c r="NR151">
        <v>1</v>
      </c>
      <c r="NS151">
        <v>0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1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1</v>
      </c>
      <c r="OH151">
        <v>0</v>
      </c>
      <c r="OI151">
        <v>0</v>
      </c>
      <c r="OJ151">
        <v>0</v>
      </c>
      <c r="OK151">
        <v>0</v>
      </c>
      <c r="OL151">
        <v>0</v>
      </c>
      <c r="OM151">
        <v>0</v>
      </c>
      <c r="ON151">
        <v>0</v>
      </c>
      <c r="OO151">
        <v>0</v>
      </c>
      <c r="OP151">
        <v>0</v>
      </c>
      <c r="OQ151">
        <v>0</v>
      </c>
      <c r="OR151">
        <v>0</v>
      </c>
      <c r="OS151">
        <v>0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0</v>
      </c>
      <c r="OZ151">
        <v>0</v>
      </c>
      <c r="PA151">
        <v>0</v>
      </c>
      <c r="PB151">
        <v>0</v>
      </c>
      <c r="PC151">
        <v>0</v>
      </c>
      <c r="PD151">
        <v>0</v>
      </c>
      <c r="PE151">
        <v>0</v>
      </c>
      <c r="PF151">
        <v>0</v>
      </c>
      <c r="PG151">
        <v>0</v>
      </c>
      <c r="PH151">
        <v>0</v>
      </c>
      <c r="PI151">
        <v>0</v>
      </c>
      <c r="PJ151">
        <v>0</v>
      </c>
      <c r="PK151">
        <v>0</v>
      </c>
      <c r="PL151">
        <v>0</v>
      </c>
      <c r="PM151">
        <v>0</v>
      </c>
      <c r="PN151">
        <v>0</v>
      </c>
      <c r="PO151">
        <v>0</v>
      </c>
      <c r="PP151">
        <v>0</v>
      </c>
      <c r="PQ151">
        <v>0</v>
      </c>
      <c r="PR151">
        <v>0</v>
      </c>
      <c r="PS151">
        <v>0</v>
      </c>
      <c r="PT151">
        <v>0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</v>
      </c>
      <c r="QK151">
        <v>0</v>
      </c>
      <c r="QL151">
        <v>0</v>
      </c>
      <c r="QM151">
        <v>0</v>
      </c>
      <c r="QN151">
        <v>0</v>
      </c>
      <c r="QO151">
        <v>0</v>
      </c>
      <c r="QP151">
        <v>0</v>
      </c>
      <c r="QQ151">
        <v>1</v>
      </c>
      <c r="QR151">
        <v>0</v>
      </c>
      <c r="QS151">
        <v>0</v>
      </c>
      <c r="QT151">
        <v>0</v>
      </c>
      <c r="QU151">
        <v>0</v>
      </c>
      <c r="QV151">
        <v>0</v>
      </c>
      <c r="QW151">
        <v>0</v>
      </c>
      <c r="QX151">
        <v>0</v>
      </c>
      <c r="QY151">
        <v>0</v>
      </c>
    </row>
    <row r="152" spans="1:467" hidden="1" x14ac:dyDescent="0.4">
      <c r="A152" t="str">
        <f>"9784778315603"</f>
        <v>9784778315603</v>
      </c>
      <c r="B152" t="str">
        <f>"477831560X"</f>
        <v>477831560X</v>
      </c>
      <c r="C152" t="s">
        <v>2172</v>
      </c>
      <c r="D152" t="s">
        <v>2173</v>
      </c>
      <c r="E152" t="s">
        <v>2174</v>
      </c>
      <c r="F152" t="s">
        <v>2175</v>
      </c>
      <c r="G152" t="str">
        <f>"0095"</f>
        <v>0095</v>
      </c>
      <c r="H152" t="s">
        <v>481</v>
      </c>
      <c r="I152" t="s">
        <v>1893</v>
      </c>
      <c r="J152" t="s">
        <v>509</v>
      </c>
      <c r="L152" s="1">
        <v>42768</v>
      </c>
      <c r="M152">
        <v>1700</v>
      </c>
      <c r="N152">
        <v>18</v>
      </c>
      <c r="O152">
        <v>14</v>
      </c>
      <c r="P152">
        <v>18</v>
      </c>
      <c r="Q152">
        <v>14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1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1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2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1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1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2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2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1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1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1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1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0</v>
      </c>
      <c r="NK152">
        <v>0</v>
      </c>
      <c r="NL152">
        <v>0</v>
      </c>
      <c r="NM152">
        <v>0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1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1</v>
      </c>
      <c r="NZ152">
        <v>0</v>
      </c>
      <c r="OA152">
        <v>0</v>
      </c>
      <c r="OB152">
        <v>0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0</v>
      </c>
      <c r="OM152">
        <v>0</v>
      </c>
      <c r="ON152">
        <v>0</v>
      </c>
      <c r="OO152">
        <v>0</v>
      </c>
      <c r="OP152">
        <v>0</v>
      </c>
      <c r="OQ152">
        <v>0</v>
      </c>
      <c r="OR152">
        <v>0</v>
      </c>
      <c r="OS152">
        <v>0</v>
      </c>
      <c r="OT152">
        <v>0</v>
      </c>
      <c r="OU152">
        <v>0</v>
      </c>
      <c r="OV152">
        <v>0</v>
      </c>
      <c r="OW152">
        <v>0</v>
      </c>
      <c r="OX152">
        <v>0</v>
      </c>
      <c r="OY152">
        <v>0</v>
      </c>
      <c r="OZ152">
        <v>0</v>
      </c>
      <c r="PA152">
        <v>0</v>
      </c>
      <c r="PB152">
        <v>0</v>
      </c>
      <c r="PC152">
        <v>0</v>
      </c>
      <c r="PD152">
        <v>0</v>
      </c>
      <c r="PE152">
        <v>0</v>
      </c>
      <c r="PF152">
        <v>0</v>
      </c>
      <c r="PG152">
        <v>0</v>
      </c>
      <c r="PH152">
        <v>0</v>
      </c>
      <c r="PI152">
        <v>0</v>
      </c>
      <c r="PJ152">
        <v>0</v>
      </c>
      <c r="PK152">
        <v>0</v>
      </c>
      <c r="PL152">
        <v>0</v>
      </c>
      <c r="PM152">
        <v>0</v>
      </c>
      <c r="PN152">
        <v>0</v>
      </c>
      <c r="PO152">
        <v>0</v>
      </c>
      <c r="PP152">
        <v>0</v>
      </c>
      <c r="PQ152">
        <v>0</v>
      </c>
      <c r="PR152">
        <v>0</v>
      </c>
      <c r="PS152">
        <v>0</v>
      </c>
      <c r="PT152">
        <v>0</v>
      </c>
      <c r="PU152">
        <v>0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2</v>
      </c>
      <c r="QY152">
        <v>0</v>
      </c>
    </row>
    <row r="153" spans="1:467" x14ac:dyDescent="0.4">
      <c r="A153" t="str">
        <f>"9784065251416"</f>
        <v>9784065251416</v>
      </c>
      <c r="B153" t="str">
        <f>"4065251419"</f>
        <v>4065251419</v>
      </c>
      <c r="C153" t="s">
        <v>2176</v>
      </c>
      <c r="D153" t="s">
        <v>1902</v>
      </c>
      <c r="E153" t="s">
        <v>548</v>
      </c>
      <c r="F153" t="s">
        <v>1862</v>
      </c>
      <c r="G153" t="str">
        <f>"9979"</f>
        <v>9979</v>
      </c>
      <c r="H153" t="s">
        <v>1855</v>
      </c>
      <c r="I153" t="s">
        <v>1856</v>
      </c>
      <c r="J153" t="s">
        <v>1856</v>
      </c>
      <c r="L153" s="1">
        <v>44484</v>
      </c>
      <c r="M153">
        <v>480</v>
      </c>
      <c r="N153">
        <v>18</v>
      </c>
      <c r="O153">
        <v>15</v>
      </c>
      <c r="P153">
        <v>18</v>
      </c>
      <c r="Q153">
        <v>15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1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1</v>
      </c>
      <c r="BC153">
        <v>0</v>
      </c>
      <c r="BD153">
        <v>0</v>
      </c>
      <c r="BE153">
        <v>0</v>
      </c>
      <c r="BF153">
        <v>0</v>
      </c>
      <c r="BG153">
        <v>1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1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2</v>
      </c>
      <c r="FP153">
        <v>0</v>
      </c>
      <c r="FQ153">
        <v>0</v>
      </c>
      <c r="FR153">
        <v>0</v>
      </c>
      <c r="FS153">
        <v>0</v>
      </c>
      <c r="FT153">
        <v>1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1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2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2</v>
      </c>
      <c r="KC153">
        <v>0</v>
      </c>
      <c r="KD153">
        <v>0</v>
      </c>
      <c r="KE153">
        <v>0</v>
      </c>
      <c r="KF153">
        <v>1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</v>
      </c>
      <c r="NE153">
        <v>0</v>
      </c>
      <c r="NF153">
        <v>0</v>
      </c>
      <c r="NG153">
        <v>0</v>
      </c>
      <c r="NH153">
        <v>0</v>
      </c>
      <c r="NI153">
        <v>0</v>
      </c>
      <c r="NJ153">
        <v>0</v>
      </c>
      <c r="NK153">
        <v>0</v>
      </c>
      <c r="NL153">
        <v>0</v>
      </c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0</v>
      </c>
      <c r="OM153">
        <v>0</v>
      </c>
      <c r="ON153">
        <v>0</v>
      </c>
      <c r="OO153">
        <v>0</v>
      </c>
      <c r="OP153">
        <v>0</v>
      </c>
      <c r="OQ153">
        <v>0</v>
      </c>
      <c r="OR153">
        <v>0</v>
      </c>
      <c r="OS153">
        <v>0</v>
      </c>
      <c r="OT153">
        <v>0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1</v>
      </c>
      <c r="PJ153">
        <v>0</v>
      </c>
      <c r="PK153">
        <v>0</v>
      </c>
      <c r="PL153">
        <v>0</v>
      </c>
      <c r="PM153">
        <v>0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0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0</v>
      </c>
      <c r="QG153">
        <v>0</v>
      </c>
      <c r="QH153">
        <v>0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</row>
    <row r="154" spans="1:467" hidden="1" x14ac:dyDescent="0.4">
      <c r="A154" t="str">
        <f>"9784163916255"</f>
        <v>9784163916255</v>
      </c>
      <c r="B154" t="str">
        <f>"4163916253"</f>
        <v>4163916253</v>
      </c>
      <c r="C154" t="s">
        <v>2177</v>
      </c>
      <c r="D154" t="s">
        <v>2141</v>
      </c>
      <c r="E154" t="s">
        <v>639</v>
      </c>
      <c r="G154" t="str">
        <f>"0098"</f>
        <v>0098</v>
      </c>
      <c r="H154" t="s">
        <v>481</v>
      </c>
      <c r="I154" t="s">
        <v>1893</v>
      </c>
      <c r="J154" t="s">
        <v>1894</v>
      </c>
      <c r="L154" s="1">
        <v>44870</v>
      </c>
      <c r="M154">
        <v>2250</v>
      </c>
      <c r="N154">
        <v>18</v>
      </c>
      <c r="O154">
        <v>16</v>
      </c>
      <c r="P154">
        <v>18</v>
      </c>
      <c r="Q154">
        <v>16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2</v>
      </c>
      <c r="CI154">
        <v>0</v>
      </c>
      <c r="CJ154">
        <v>0</v>
      </c>
      <c r="CK154">
        <v>1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1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1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1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1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1</v>
      </c>
      <c r="HA154">
        <v>0</v>
      </c>
      <c r="HB154">
        <v>0</v>
      </c>
      <c r="HC154">
        <v>0</v>
      </c>
      <c r="HD154">
        <v>1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1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2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1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0</v>
      </c>
      <c r="NL154">
        <v>0</v>
      </c>
      <c r="NM154">
        <v>0</v>
      </c>
      <c r="NN154">
        <v>0</v>
      </c>
      <c r="NO154">
        <v>0</v>
      </c>
      <c r="NP154">
        <v>0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</v>
      </c>
      <c r="OA154">
        <v>0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1</v>
      </c>
      <c r="OY154">
        <v>1</v>
      </c>
      <c r="OZ154">
        <v>0</v>
      </c>
      <c r="PA154">
        <v>0</v>
      </c>
      <c r="PB154">
        <v>0</v>
      </c>
      <c r="PC154">
        <v>0</v>
      </c>
      <c r="PD154">
        <v>0</v>
      </c>
      <c r="PE154">
        <v>0</v>
      </c>
      <c r="PF154">
        <v>0</v>
      </c>
      <c r="PG154">
        <v>0</v>
      </c>
      <c r="PH154">
        <v>0</v>
      </c>
      <c r="PI154">
        <v>1</v>
      </c>
      <c r="PJ154">
        <v>0</v>
      </c>
      <c r="PK154">
        <v>0</v>
      </c>
      <c r="PL154">
        <v>0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0</v>
      </c>
      <c r="PT154">
        <v>0</v>
      </c>
      <c r="PU154">
        <v>0</v>
      </c>
      <c r="PV154">
        <v>0</v>
      </c>
      <c r="PW154">
        <v>0</v>
      </c>
      <c r="PX154">
        <v>0</v>
      </c>
      <c r="PY154">
        <v>0</v>
      </c>
      <c r="PZ154">
        <v>0</v>
      </c>
      <c r="QA154">
        <v>0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</row>
    <row r="155" spans="1:467" x14ac:dyDescent="0.4">
      <c r="A155" t="str">
        <f>"9784065279137"</f>
        <v>9784065279137</v>
      </c>
      <c r="B155" t="str">
        <f>"4065279135"</f>
        <v>4065279135</v>
      </c>
      <c r="C155" t="s">
        <v>2178</v>
      </c>
      <c r="D155" t="s">
        <v>1902</v>
      </c>
      <c r="E155" t="s">
        <v>548</v>
      </c>
      <c r="F155" t="s">
        <v>1862</v>
      </c>
      <c r="G155" t="str">
        <f t="shared" ref="G155:G163" si="3">"9979"</f>
        <v>9979</v>
      </c>
      <c r="H155" t="s">
        <v>1855</v>
      </c>
      <c r="I155" t="s">
        <v>1856</v>
      </c>
      <c r="J155" t="s">
        <v>1856</v>
      </c>
      <c r="L155" s="1">
        <v>44698</v>
      </c>
      <c r="M155">
        <v>480</v>
      </c>
      <c r="N155">
        <v>18</v>
      </c>
      <c r="O155">
        <v>14</v>
      </c>
      <c r="P155">
        <v>18</v>
      </c>
      <c r="Q155">
        <v>14</v>
      </c>
      <c r="R155">
        <v>0</v>
      </c>
      <c r="S155">
        <v>0</v>
      </c>
      <c r="T155">
        <v>1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1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1</v>
      </c>
      <c r="BC155">
        <v>0</v>
      </c>
      <c r="BD155">
        <v>0</v>
      </c>
      <c r="BE155">
        <v>0</v>
      </c>
      <c r="BF155">
        <v>0</v>
      </c>
      <c r="BG155">
        <v>1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1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2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1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1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1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2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3</v>
      </c>
      <c r="KC155">
        <v>0</v>
      </c>
      <c r="KD155">
        <v>0</v>
      </c>
      <c r="KE155">
        <v>0</v>
      </c>
      <c r="KF155">
        <v>1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0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1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0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</row>
    <row r="156" spans="1:467" x14ac:dyDescent="0.4">
      <c r="A156" t="str">
        <f>"9784088826691"</f>
        <v>9784088826691</v>
      </c>
      <c r="B156" t="str">
        <f>"4088826698"</f>
        <v>4088826698</v>
      </c>
      <c r="C156" t="s">
        <v>2179</v>
      </c>
      <c r="D156" t="s">
        <v>2006</v>
      </c>
      <c r="E156" t="s">
        <v>536</v>
      </c>
      <c r="F156" t="s">
        <v>1935</v>
      </c>
      <c r="G156" t="str">
        <f t="shared" si="3"/>
        <v>9979</v>
      </c>
      <c r="H156" t="s">
        <v>1855</v>
      </c>
      <c r="I156" t="s">
        <v>1856</v>
      </c>
      <c r="J156" t="s">
        <v>1856</v>
      </c>
      <c r="L156" s="1">
        <v>44349</v>
      </c>
      <c r="M156">
        <v>480</v>
      </c>
      <c r="N156">
        <v>18</v>
      </c>
      <c r="O156">
        <v>11</v>
      </c>
      <c r="P156">
        <v>18</v>
      </c>
      <c r="Q156">
        <v>11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1</v>
      </c>
      <c r="BF156">
        <v>0</v>
      </c>
      <c r="BG156">
        <v>0</v>
      </c>
      <c r="BH156">
        <v>0</v>
      </c>
      <c r="BI156">
        <v>1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1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1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1</v>
      </c>
      <c r="FP156">
        <v>0</v>
      </c>
      <c r="FQ156">
        <v>0</v>
      </c>
      <c r="FR156">
        <v>0</v>
      </c>
      <c r="FS156">
        <v>0</v>
      </c>
      <c r="FT156">
        <v>7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1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2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1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1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  <c r="QJ156">
        <v>0</v>
      </c>
      <c r="QK156">
        <v>0</v>
      </c>
      <c r="QL156">
        <v>0</v>
      </c>
      <c r="QM156">
        <v>0</v>
      </c>
      <c r="QN156">
        <v>0</v>
      </c>
      <c r="QO156">
        <v>0</v>
      </c>
      <c r="QP156">
        <v>0</v>
      </c>
      <c r="QQ156">
        <v>0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0</v>
      </c>
      <c r="QY156">
        <v>0</v>
      </c>
    </row>
    <row r="157" spans="1:467" x14ac:dyDescent="0.4">
      <c r="A157" t="str">
        <f>"9784065134009"</f>
        <v>9784065134009</v>
      </c>
      <c r="B157" t="str">
        <f>"4065134005"</f>
        <v>4065134005</v>
      </c>
      <c r="C157" t="s">
        <v>2180</v>
      </c>
      <c r="D157" t="s">
        <v>1902</v>
      </c>
      <c r="E157" t="s">
        <v>548</v>
      </c>
      <c r="F157" t="s">
        <v>1862</v>
      </c>
      <c r="G157" t="str">
        <f t="shared" si="3"/>
        <v>9979</v>
      </c>
      <c r="H157" t="s">
        <v>1855</v>
      </c>
      <c r="I157" t="s">
        <v>1856</v>
      </c>
      <c r="J157" t="s">
        <v>1856</v>
      </c>
      <c r="L157" s="1">
        <v>43420</v>
      </c>
      <c r="M157">
        <v>480</v>
      </c>
      <c r="N157">
        <v>17</v>
      </c>
      <c r="O157">
        <v>13</v>
      </c>
      <c r="P157">
        <v>17</v>
      </c>
      <c r="Q157">
        <v>13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1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2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1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1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1</v>
      </c>
      <c r="FP157">
        <v>0</v>
      </c>
      <c r="FQ157">
        <v>0</v>
      </c>
      <c r="FR157">
        <v>0</v>
      </c>
      <c r="FS157">
        <v>0</v>
      </c>
      <c r="FT157">
        <v>1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1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1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1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2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3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1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  <c r="QJ157">
        <v>0</v>
      </c>
      <c r="QK157">
        <v>0</v>
      </c>
      <c r="QL157">
        <v>0</v>
      </c>
      <c r="QM157">
        <v>0</v>
      </c>
      <c r="QN157">
        <v>0</v>
      </c>
      <c r="QO157">
        <v>0</v>
      </c>
      <c r="QP157">
        <v>0</v>
      </c>
      <c r="QQ157">
        <v>0</v>
      </c>
      <c r="QR157">
        <v>0</v>
      </c>
      <c r="QS157">
        <v>0</v>
      </c>
      <c r="QT157">
        <v>0</v>
      </c>
      <c r="QU157">
        <v>0</v>
      </c>
      <c r="QV157">
        <v>0</v>
      </c>
      <c r="QW157">
        <v>0</v>
      </c>
      <c r="QX157">
        <v>0</v>
      </c>
      <c r="QY157">
        <v>0</v>
      </c>
    </row>
    <row r="158" spans="1:467" x14ac:dyDescent="0.4">
      <c r="A158" t="str">
        <f>"9784065154502"</f>
        <v>9784065154502</v>
      </c>
      <c r="B158" t="str">
        <f>"4065154502"</f>
        <v>4065154502</v>
      </c>
      <c r="C158" t="s">
        <v>2181</v>
      </c>
      <c r="D158" t="s">
        <v>1902</v>
      </c>
      <c r="E158" t="s">
        <v>548</v>
      </c>
      <c r="F158" t="s">
        <v>1862</v>
      </c>
      <c r="G158" t="str">
        <f t="shared" si="3"/>
        <v>9979</v>
      </c>
      <c r="H158" t="s">
        <v>1855</v>
      </c>
      <c r="I158" t="s">
        <v>1856</v>
      </c>
      <c r="J158" t="s">
        <v>1856</v>
      </c>
      <c r="L158" s="1">
        <v>43633</v>
      </c>
      <c r="M158">
        <v>480</v>
      </c>
      <c r="N158">
        <v>17</v>
      </c>
      <c r="O158">
        <v>13</v>
      </c>
      <c r="P158">
        <v>17</v>
      </c>
      <c r="Q158">
        <v>13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1</v>
      </c>
      <c r="BC158">
        <v>0</v>
      </c>
      <c r="BD158">
        <v>0</v>
      </c>
      <c r="BE158">
        <v>0</v>
      </c>
      <c r="BF158">
        <v>0</v>
      </c>
      <c r="BG158">
        <v>1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1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1</v>
      </c>
      <c r="FP158">
        <v>0</v>
      </c>
      <c r="FQ158">
        <v>0</v>
      </c>
      <c r="FR158">
        <v>0</v>
      </c>
      <c r="FS158">
        <v>0</v>
      </c>
      <c r="FT158">
        <v>2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1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2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2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1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  <c r="QJ158">
        <v>0</v>
      </c>
      <c r="QK158">
        <v>0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0</v>
      </c>
      <c r="QS158">
        <v>0</v>
      </c>
      <c r="QT158">
        <v>0</v>
      </c>
      <c r="QU158">
        <v>0</v>
      </c>
      <c r="QV158">
        <v>0</v>
      </c>
      <c r="QW158">
        <v>0</v>
      </c>
      <c r="QX158">
        <v>0</v>
      </c>
      <c r="QY158">
        <v>0</v>
      </c>
    </row>
    <row r="159" spans="1:467" x14ac:dyDescent="0.4">
      <c r="A159" t="str">
        <f>"9784065203606"</f>
        <v>9784065203606</v>
      </c>
      <c r="B159" t="str">
        <f>"4065203600"</f>
        <v>4065203600</v>
      </c>
      <c r="C159" t="s">
        <v>2182</v>
      </c>
      <c r="D159" t="s">
        <v>1902</v>
      </c>
      <c r="E159" t="s">
        <v>548</v>
      </c>
      <c r="F159" t="s">
        <v>1862</v>
      </c>
      <c r="G159" t="str">
        <f t="shared" si="3"/>
        <v>9979</v>
      </c>
      <c r="H159" t="s">
        <v>1855</v>
      </c>
      <c r="I159" t="s">
        <v>1856</v>
      </c>
      <c r="J159" t="s">
        <v>1856</v>
      </c>
      <c r="L159" s="1">
        <v>44060</v>
      </c>
      <c r="M159">
        <v>480</v>
      </c>
      <c r="N159">
        <v>17</v>
      </c>
      <c r="O159">
        <v>15</v>
      </c>
      <c r="P159">
        <v>17</v>
      </c>
      <c r="Q159">
        <v>15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2</v>
      </c>
      <c r="BC159">
        <v>0</v>
      </c>
      <c r="BD159">
        <v>0</v>
      </c>
      <c r="BE159">
        <v>0</v>
      </c>
      <c r="BF159">
        <v>0</v>
      </c>
      <c r="BG159">
        <v>1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1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1</v>
      </c>
      <c r="FP159">
        <v>0</v>
      </c>
      <c r="FQ159">
        <v>0</v>
      </c>
      <c r="FR159">
        <v>0</v>
      </c>
      <c r="FS159">
        <v>0</v>
      </c>
      <c r="FT159">
        <v>1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1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1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2</v>
      </c>
      <c r="KC159">
        <v>0</v>
      </c>
      <c r="KD159">
        <v>0</v>
      </c>
      <c r="KE159">
        <v>0</v>
      </c>
      <c r="KF159">
        <v>1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1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1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  <c r="QJ159">
        <v>0</v>
      </c>
      <c r="QK159">
        <v>0</v>
      </c>
      <c r="QL159">
        <v>0</v>
      </c>
      <c r="QM159">
        <v>0</v>
      </c>
      <c r="QN159">
        <v>0</v>
      </c>
      <c r="QO159">
        <v>0</v>
      </c>
      <c r="QP159">
        <v>0</v>
      </c>
      <c r="QQ159">
        <v>0</v>
      </c>
      <c r="QR159">
        <v>0</v>
      </c>
      <c r="QS159">
        <v>0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</row>
    <row r="160" spans="1:467" x14ac:dyDescent="0.4">
      <c r="A160" t="str">
        <f>"9784088801346"</f>
        <v>9784088801346</v>
      </c>
      <c r="B160" t="str">
        <f>"4088801342"</f>
        <v>4088801342</v>
      </c>
      <c r="C160" t="s">
        <v>2183</v>
      </c>
      <c r="D160" t="s">
        <v>2184</v>
      </c>
      <c r="E160" t="s">
        <v>536</v>
      </c>
      <c r="F160" t="s">
        <v>1854</v>
      </c>
      <c r="G160" t="str">
        <f t="shared" si="3"/>
        <v>9979</v>
      </c>
      <c r="H160" t="s">
        <v>1855</v>
      </c>
      <c r="I160" t="s">
        <v>1856</v>
      </c>
      <c r="J160" t="s">
        <v>1856</v>
      </c>
      <c r="L160" s="1">
        <v>41886</v>
      </c>
      <c r="M160">
        <v>440</v>
      </c>
      <c r="N160">
        <v>17</v>
      </c>
      <c r="O160">
        <v>1</v>
      </c>
      <c r="P160">
        <v>17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17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0</v>
      </c>
      <c r="QN160">
        <v>0</v>
      </c>
      <c r="QO160">
        <v>0</v>
      </c>
      <c r="QP160">
        <v>0</v>
      </c>
      <c r="QQ160">
        <v>0</v>
      </c>
      <c r="QR160">
        <v>0</v>
      </c>
      <c r="QS160">
        <v>0</v>
      </c>
      <c r="QT160">
        <v>0</v>
      </c>
      <c r="QU160">
        <v>0</v>
      </c>
      <c r="QV160">
        <v>0</v>
      </c>
      <c r="QW160">
        <v>0</v>
      </c>
      <c r="QX160">
        <v>0</v>
      </c>
      <c r="QY160">
        <v>0</v>
      </c>
    </row>
    <row r="161" spans="1:467" x14ac:dyDescent="0.4">
      <c r="A161" t="str">
        <f>"9784098616152"</f>
        <v>9784098616152</v>
      </c>
      <c r="B161" t="str">
        <f>"4098616157"</f>
        <v>4098616157</v>
      </c>
      <c r="C161" t="s">
        <v>2185</v>
      </c>
      <c r="D161" t="s">
        <v>2186</v>
      </c>
      <c r="E161" t="s">
        <v>1069</v>
      </c>
      <c r="F161" t="s">
        <v>2187</v>
      </c>
      <c r="G161" t="str">
        <f t="shared" si="3"/>
        <v>9979</v>
      </c>
      <c r="H161" t="s">
        <v>1855</v>
      </c>
      <c r="I161" t="s">
        <v>1856</v>
      </c>
      <c r="J161" t="s">
        <v>1856</v>
      </c>
      <c r="L161" s="1">
        <v>44938</v>
      </c>
      <c r="M161">
        <v>690</v>
      </c>
      <c r="N161">
        <v>17</v>
      </c>
      <c r="O161">
        <v>15</v>
      </c>
      <c r="P161">
        <v>17</v>
      </c>
      <c r="Q161">
        <v>15</v>
      </c>
      <c r="R161">
        <v>0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1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3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1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1</v>
      </c>
      <c r="HL161">
        <v>0</v>
      </c>
      <c r="HM161">
        <v>1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1</v>
      </c>
      <c r="HU161">
        <v>0</v>
      </c>
      <c r="HV161">
        <v>1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1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1</v>
      </c>
      <c r="JN161">
        <v>0</v>
      </c>
      <c r="JO161">
        <v>0</v>
      </c>
      <c r="JP161">
        <v>0</v>
      </c>
      <c r="JQ161">
        <v>0</v>
      </c>
      <c r="JR161">
        <v>1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1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1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1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1</v>
      </c>
      <c r="QU161">
        <v>0</v>
      </c>
      <c r="QV161">
        <v>0</v>
      </c>
      <c r="QW161">
        <v>0</v>
      </c>
      <c r="QX161">
        <v>0</v>
      </c>
      <c r="QY161">
        <v>0</v>
      </c>
    </row>
    <row r="162" spans="1:467" x14ac:dyDescent="0.4">
      <c r="A162" t="str">
        <f>"9784088827827"</f>
        <v>9784088827827</v>
      </c>
      <c r="B162" t="str">
        <f>"4088827821"</f>
        <v>4088827821</v>
      </c>
      <c r="C162" t="s">
        <v>2188</v>
      </c>
      <c r="D162" t="s">
        <v>1853</v>
      </c>
      <c r="E162" t="s">
        <v>536</v>
      </c>
      <c r="F162" t="s">
        <v>1935</v>
      </c>
      <c r="G162" t="str">
        <f t="shared" si="3"/>
        <v>9979</v>
      </c>
      <c r="H162" t="s">
        <v>1855</v>
      </c>
      <c r="I162" t="s">
        <v>1856</v>
      </c>
      <c r="J162" t="s">
        <v>1856</v>
      </c>
      <c r="L162" s="1">
        <v>44442</v>
      </c>
      <c r="M162">
        <v>440</v>
      </c>
      <c r="N162">
        <v>17</v>
      </c>
      <c r="O162">
        <v>14</v>
      </c>
      <c r="P162">
        <v>17</v>
      </c>
      <c r="Q162">
        <v>14</v>
      </c>
      <c r="R162">
        <v>0</v>
      </c>
      <c r="S162">
        <v>0</v>
      </c>
      <c r="T162">
        <v>1</v>
      </c>
      <c r="U162">
        <v>0</v>
      </c>
      <c r="V162">
        <v>0</v>
      </c>
      <c r="W162">
        <v>1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1</v>
      </c>
      <c r="CI162">
        <v>2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1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1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1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1</v>
      </c>
      <c r="JR162">
        <v>3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1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1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1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</v>
      </c>
      <c r="QK162">
        <v>0</v>
      </c>
      <c r="QL162">
        <v>0</v>
      </c>
      <c r="QM162">
        <v>0</v>
      </c>
      <c r="QN162">
        <v>0</v>
      </c>
      <c r="QO162">
        <v>0</v>
      </c>
      <c r="QP162">
        <v>0</v>
      </c>
      <c r="QQ162">
        <v>0</v>
      </c>
      <c r="QR162">
        <v>0</v>
      </c>
      <c r="QS162">
        <v>0</v>
      </c>
      <c r="QT162">
        <v>0</v>
      </c>
      <c r="QU162">
        <v>0</v>
      </c>
      <c r="QV162">
        <v>0</v>
      </c>
      <c r="QW162">
        <v>0</v>
      </c>
      <c r="QX162">
        <v>0</v>
      </c>
      <c r="QY162">
        <v>0</v>
      </c>
    </row>
    <row r="163" spans="1:467" x14ac:dyDescent="0.4">
      <c r="A163" t="str">
        <f>"9784065216385"</f>
        <v>9784065216385</v>
      </c>
      <c r="B163" t="str">
        <f>"4065216389"</f>
        <v>4065216389</v>
      </c>
      <c r="C163" t="s">
        <v>2189</v>
      </c>
      <c r="D163" t="s">
        <v>1902</v>
      </c>
      <c r="E163" t="s">
        <v>548</v>
      </c>
      <c r="F163" t="s">
        <v>1862</v>
      </c>
      <c r="G163" t="str">
        <f t="shared" si="3"/>
        <v>9979</v>
      </c>
      <c r="H163" t="s">
        <v>1855</v>
      </c>
      <c r="I163" t="s">
        <v>1856</v>
      </c>
      <c r="J163" t="s">
        <v>1856</v>
      </c>
      <c r="L163" s="1">
        <v>44182</v>
      </c>
      <c r="M163">
        <v>480</v>
      </c>
      <c r="N163">
        <v>17</v>
      </c>
      <c r="O163">
        <v>14</v>
      </c>
      <c r="P163">
        <v>17</v>
      </c>
      <c r="Q163">
        <v>14</v>
      </c>
      <c r="R163">
        <v>0</v>
      </c>
      <c r="S163">
        <v>0</v>
      </c>
      <c r="T163">
        <v>1</v>
      </c>
      <c r="U163">
        <v>0</v>
      </c>
      <c r="V163">
        <v>0</v>
      </c>
      <c r="W163">
        <v>1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1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2</v>
      </c>
      <c r="BC163">
        <v>0</v>
      </c>
      <c r="BD163">
        <v>0</v>
      </c>
      <c r="BE163">
        <v>0</v>
      </c>
      <c r="BF163">
        <v>0</v>
      </c>
      <c r="BG163">
        <v>1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2</v>
      </c>
      <c r="FP163">
        <v>0</v>
      </c>
      <c r="FQ163">
        <v>0</v>
      </c>
      <c r="FR163">
        <v>0</v>
      </c>
      <c r="FS163">
        <v>0</v>
      </c>
      <c r="FT163">
        <v>1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1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1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1</v>
      </c>
      <c r="KC163">
        <v>0</v>
      </c>
      <c r="KD163">
        <v>0</v>
      </c>
      <c r="KE163">
        <v>0</v>
      </c>
      <c r="KF163">
        <v>1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2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</row>
    <row r="164" spans="1:467" hidden="1" x14ac:dyDescent="0.4">
      <c r="A164" t="str">
        <f>"9784480815576"</f>
        <v>9784480815576</v>
      </c>
      <c r="B164" t="str">
        <f>"4480815570"</f>
        <v>4480815570</v>
      </c>
      <c r="C164" t="s">
        <v>2190</v>
      </c>
      <c r="D164" t="s">
        <v>2191</v>
      </c>
      <c r="E164" t="s">
        <v>501</v>
      </c>
      <c r="G164" t="str">
        <f>"0095"</f>
        <v>0095</v>
      </c>
      <c r="H164" t="s">
        <v>481</v>
      </c>
      <c r="I164" t="s">
        <v>1893</v>
      </c>
      <c r="J164" t="s">
        <v>509</v>
      </c>
      <c r="L164" s="1">
        <v>44086</v>
      </c>
      <c r="M164">
        <v>1600</v>
      </c>
      <c r="N164">
        <v>17</v>
      </c>
      <c r="O164">
        <v>2</v>
      </c>
      <c r="P164">
        <v>17</v>
      </c>
      <c r="Q164">
        <v>2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16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1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</row>
    <row r="165" spans="1:467" x14ac:dyDescent="0.4">
      <c r="A165" t="str">
        <f>"9784065178874"</f>
        <v>9784065178874</v>
      </c>
      <c r="B165" t="str">
        <f>"4065178878"</f>
        <v>4065178878</v>
      </c>
      <c r="C165" t="s">
        <v>2192</v>
      </c>
      <c r="D165" t="s">
        <v>1902</v>
      </c>
      <c r="E165" t="s">
        <v>548</v>
      </c>
      <c r="F165" t="s">
        <v>1862</v>
      </c>
      <c r="G165" t="str">
        <f>"9979"</f>
        <v>9979</v>
      </c>
      <c r="H165" t="s">
        <v>1855</v>
      </c>
      <c r="I165" t="s">
        <v>1856</v>
      </c>
      <c r="J165" t="s">
        <v>1856</v>
      </c>
      <c r="L165" s="1">
        <v>43847</v>
      </c>
      <c r="M165">
        <v>480</v>
      </c>
      <c r="N165">
        <v>17</v>
      </c>
      <c r="O165">
        <v>14</v>
      </c>
      <c r="P165">
        <v>17</v>
      </c>
      <c r="Q165">
        <v>14</v>
      </c>
      <c r="R165">
        <v>0</v>
      </c>
      <c r="S165">
        <v>0</v>
      </c>
      <c r="T165">
        <v>1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1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1</v>
      </c>
      <c r="BC165">
        <v>0</v>
      </c>
      <c r="BD165">
        <v>0</v>
      </c>
      <c r="BE165">
        <v>0</v>
      </c>
      <c r="BF165">
        <v>0</v>
      </c>
      <c r="BG165">
        <v>1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2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1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2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2</v>
      </c>
      <c r="KC165">
        <v>0</v>
      </c>
      <c r="KD165">
        <v>0</v>
      </c>
      <c r="KE165">
        <v>0</v>
      </c>
      <c r="KF165">
        <v>1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1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</v>
      </c>
      <c r="QR165">
        <v>0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</row>
    <row r="166" spans="1:467" hidden="1" x14ac:dyDescent="0.4">
      <c r="A166" t="str">
        <f>"9784384060522"</f>
        <v>9784384060522</v>
      </c>
      <c r="B166" t="str">
        <f>"4384060521"</f>
        <v>4384060521</v>
      </c>
      <c r="C166" t="s">
        <v>2193</v>
      </c>
      <c r="D166" t="s">
        <v>2194</v>
      </c>
      <c r="E166" t="s">
        <v>2195</v>
      </c>
      <c r="G166" t="str">
        <f>"1095"</f>
        <v>1095</v>
      </c>
      <c r="H166" t="s">
        <v>541</v>
      </c>
      <c r="I166" t="s">
        <v>1893</v>
      </c>
      <c r="J166" t="s">
        <v>509</v>
      </c>
      <c r="L166" s="1">
        <v>44866</v>
      </c>
      <c r="M166">
        <v>3000</v>
      </c>
      <c r="N166">
        <v>16</v>
      </c>
      <c r="O166">
        <v>16</v>
      </c>
      <c r="P166">
        <v>16</v>
      </c>
      <c r="Q166">
        <v>16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1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1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1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1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1</v>
      </c>
      <c r="FU166">
        <v>0</v>
      </c>
      <c r="FV166">
        <v>0</v>
      </c>
      <c r="FW166">
        <v>0</v>
      </c>
      <c r="FX166">
        <v>0</v>
      </c>
      <c r="FY166">
        <v>1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1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1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1</v>
      </c>
      <c r="MM166">
        <v>0</v>
      </c>
      <c r="MN166">
        <v>1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1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1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1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1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</row>
    <row r="167" spans="1:467" x14ac:dyDescent="0.4">
      <c r="A167" t="str">
        <f>"9784065302767"</f>
        <v>9784065302767</v>
      </c>
      <c r="B167" t="str">
        <f>"4065302765"</f>
        <v>4065302765</v>
      </c>
      <c r="C167" t="s">
        <v>2007</v>
      </c>
      <c r="D167" t="s">
        <v>2008</v>
      </c>
      <c r="E167" t="s">
        <v>548</v>
      </c>
      <c r="F167" t="s">
        <v>2196</v>
      </c>
      <c r="G167" t="str">
        <f>"9979"</f>
        <v>9979</v>
      </c>
      <c r="H167" t="s">
        <v>1855</v>
      </c>
      <c r="I167" t="s">
        <v>1856</v>
      </c>
      <c r="J167" t="s">
        <v>1856</v>
      </c>
      <c r="L167" s="1">
        <v>44949</v>
      </c>
      <c r="M167">
        <v>2300</v>
      </c>
      <c r="N167">
        <v>16</v>
      </c>
      <c r="O167">
        <v>13</v>
      </c>
      <c r="P167">
        <v>16</v>
      </c>
      <c r="Q167">
        <v>13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1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1</v>
      </c>
      <c r="DX167">
        <v>0</v>
      </c>
      <c r="DY167">
        <v>1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1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1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1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1</v>
      </c>
      <c r="JA167">
        <v>0</v>
      </c>
      <c r="JB167">
        <v>0</v>
      </c>
      <c r="JC167">
        <v>1</v>
      </c>
      <c r="JD167">
        <v>0</v>
      </c>
      <c r="JE167">
        <v>0</v>
      </c>
      <c r="JF167">
        <v>4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1</v>
      </c>
      <c r="JR167">
        <v>1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1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0</v>
      </c>
      <c r="QU167">
        <v>1</v>
      </c>
      <c r="QV167">
        <v>0</v>
      </c>
      <c r="QW167">
        <v>0</v>
      </c>
      <c r="QX167">
        <v>0</v>
      </c>
      <c r="QY167">
        <v>0</v>
      </c>
    </row>
    <row r="168" spans="1:467" hidden="1" x14ac:dyDescent="0.4">
      <c r="A168" t="str">
        <f>"9784058017159"</f>
        <v>9784058017159</v>
      </c>
      <c r="B168" t="str">
        <f>"4058017155"</f>
        <v>4058017155</v>
      </c>
      <c r="C168" t="s">
        <v>2197</v>
      </c>
      <c r="D168" t="s">
        <v>2198</v>
      </c>
      <c r="E168" t="s">
        <v>2199</v>
      </c>
      <c r="F168" t="s">
        <v>2199</v>
      </c>
      <c r="G168" t="str">
        <f>"0326"</f>
        <v>0326</v>
      </c>
      <c r="H168" t="s">
        <v>481</v>
      </c>
      <c r="I168" t="s">
        <v>1877</v>
      </c>
      <c r="J168" t="s">
        <v>2110</v>
      </c>
      <c r="L168" s="1">
        <v>44806</v>
      </c>
      <c r="M168">
        <v>3000</v>
      </c>
      <c r="N168">
        <v>16</v>
      </c>
      <c r="O168">
        <v>16</v>
      </c>
      <c r="P168">
        <v>16</v>
      </c>
      <c r="Q168">
        <v>16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1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1</v>
      </c>
      <c r="CJ168">
        <v>0</v>
      </c>
      <c r="CK168">
        <v>0</v>
      </c>
      <c r="CL168">
        <v>1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1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1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1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1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1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1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1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1</v>
      </c>
      <c r="OP168">
        <v>0</v>
      </c>
      <c r="OQ168">
        <v>0</v>
      </c>
      <c r="OR168">
        <v>0</v>
      </c>
      <c r="OS168">
        <v>0</v>
      </c>
      <c r="OT168">
        <v>1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1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</row>
    <row r="169" spans="1:467" x14ac:dyDescent="0.4">
      <c r="A169" t="str">
        <f>"9784088833057"</f>
        <v>9784088833057</v>
      </c>
      <c r="B169" t="str">
        <f>"4088833058"</f>
        <v>4088833058</v>
      </c>
      <c r="C169" t="s">
        <v>2200</v>
      </c>
      <c r="D169" t="s">
        <v>2201</v>
      </c>
      <c r="E169" t="s">
        <v>536</v>
      </c>
      <c r="F169" t="s">
        <v>1935</v>
      </c>
      <c r="G169" t="str">
        <f>"9979"</f>
        <v>9979</v>
      </c>
      <c r="H169" t="s">
        <v>1855</v>
      </c>
      <c r="I169" t="s">
        <v>1856</v>
      </c>
      <c r="J169" t="s">
        <v>1856</v>
      </c>
      <c r="L169" s="1">
        <v>44867</v>
      </c>
      <c r="M169">
        <v>520</v>
      </c>
      <c r="N169">
        <v>16</v>
      </c>
      <c r="O169">
        <v>15</v>
      </c>
      <c r="P169">
        <v>16</v>
      </c>
      <c r="Q169">
        <v>15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1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1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1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1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1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1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1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1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2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1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1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1</v>
      </c>
      <c r="QI169">
        <v>0</v>
      </c>
      <c r="QJ169">
        <v>0</v>
      </c>
      <c r="QK169">
        <v>0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0</v>
      </c>
      <c r="QS169">
        <v>0</v>
      </c>
      <c r="QT169">
        <v>0</v>
      </c>
      <c r="QU169">
        <v>0</v>
      </c>
      <c r="QV169">
        <v>0</v>
      </c>
      <c r="QW169">
        <v>0</v>
      </c>
      <c r="QX169">
        <v>0</v>
      </c>
      <c r="QY169">
        <v>0</v>
      </c>
    </row>
    <row r="170" spans="1:467" hidden="1" x14ac:dyDescent="0.4">
      <c r="A170" t="str">
        <f>"9784910534022"</f>
        <v>9784910534022</v>
      </c>
      <c r="B170" t="str">
        <f>"4910534024"</f>
        <v>4910534024</v>
      </c>
      <c r="C170" t="s">
        <v>2202</v>
      </c>
      <c r="D170" t="s">
        <v>2203</v>
      </c>
      <c r="E170" t="s">
        <v>2204</v>
      </c>
      <c r="G170" t="str">
        <f>"0095"</f>
        <v>0095</v>
      </c>
      <c r="H170" t="s">
        <v>481</v>
      </c>
      <c r="I170" t="s">
        <v>1893</v>
      </c>
      <c r="J170" t="s">
        <v>509</v>
      </c>
      <c r="L170" s="1">
        <v>44896</v>
      </c>
      <c r="M170">
        <v>2000</v>
      </c>
      <c r="N170">
        <v>16</v>
      </c>
      <c r="O170">
        <v>14</v>
      </c>
      <c r="P170">
        <v>16</v>
      </c>
      <c r="Q170">
        <v>14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2</v>
      </c>
      <c r="CI170">
        <v>1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1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1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1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2</v>
      </c>
      <c r="JC170">
        <v>0</v>
      </c>
      <c r="JD170">
        <v>0</v>
      </c>
      <c r="JE170">
        <v>0</v>
      </c>
      <c r="JF170">
        <v>1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1</v>
      </c>
      <c r="JR170">
        <v>1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1</v>
      </c>
      <c r="LN170">
        <v>0</v>
      </c>
      <c r="LO170">
        <v>0</v>
      </c>
      <c r="LP170">
        <v>1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1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1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0</v>
      </c>
      <c r="QS170">
        <v>0</v>
      </c>
      <c r="QT170">
        <v>0</v>
      </c>
      <c r="QU170">
        <v>1</v>
      </c>
      <c r="QV170">
        <v>0</v>
      </c>
      <c r="QW170">
        <v>0</v>
      </c>
      <c r="QX170">
        <v>0</v>
      </c>
      <c r="QY170">
        <v>0</v>
      </c>
    </row>
    <row r="171" spans="1:467" hidden="1" x14ac:dyDescent="0.4">
      <c r="A171" t="str">
        <f>"9784163916378"</f>
        <v>9784163916378</v>
      </c>
      <c r="B171" t="str">
        <f>"4163916377"</f>
        <v>4163916377</v>
      </c>
      <c r="C171" t="s">
        <v>2205</v>
      </c>
      <c r="D171" t="s">
        <v>2206</v>
      </c>
      <c r="E171" t="s">
        <v>639</v>
      </c>
      <c r="G171" t="str">
        <f>"0095"</f>
        <v>0095</v>
      </c>
      <c r="H171" t="s">
        <v>481</v>
      </c>
      <c r="I171" t="s">
        <v>1893</v>
      </c>
      <c r="J171" t="s">
        <v>509</v>
      </c>
      <c r="L171" s="1">
        <v>44908</v>
      </c>
      <c r="M171">
        <v>2700</v>
      </c>
      <c r="N171">
        <v>16</v>
      </c>
      <c r="O171">
        <v>13</v>
      </c>
      <c r="P171">
        <v>16</v>
      </c>
      <c r="Q171">
        <v>13</v>
      </c>
      <c r="R171">
        <v>0</v>
      </c>
      <c r="S171">
        <v>0</v>
      </c>
      <c r="T171">
        <v>0</v>
      </c>
      <c r="U171">
        <v>2</v>
      </c>
      <c r="V171">
        <v>0</v>
      </c>
      <c r="W171">
        <v>0</v>
      </c>
      <c r="X171">
        <v>0</v>
      </c>
      <c r="Y171">
        <v>1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1</v>
      </c>
      <c r="CI171">
        <v>1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1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2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2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1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1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1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1</v>
      </c>
      <c r="OH171">
        <v>0</v>
      </c>
      <c r="OI171">
        <v>0</v>
      </c>
      <c r="OJ171">
        <v>0</v>
      </c>
      <c r="OK171">
        <v>0</v>
      </c>
      <c r="OL171">
        <v>1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1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  <c r="QJ171">
        <v>0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</row>
    <row r="172" spans="1:467" x14ac:dyDescent="0.4">
      <c r="A172" t="str">
        <f>"9784832271708"</f>
        <v>9784832271708</v>
      </c>
      <c r="B172" t="str">
        <f>"4832271709"</f>
        <v>4832271709</v>
      </c>
      <c r="C172" t="s">
        <v>2207</v>
      </c>
      <c r="D172" t="s">
        <v>2143</v>
      </c>
      <c r="E172" t="s">
        <v>2144</v>
      </c>
      <c r="F172" t="s">
        <v>2208</v>
      </c>
      <c r="G172" t="str">
        <f>"9979"</f>
        <v>9979</v>
      </c>
      <c r="H172" t="s">
        <v>1855</v>
      </c>
      <c r="I172" t="s">
        <v>1856</v>
      </c>
      <c r="J172" t="s">
        <v>1856</v>
      </c>
      <c r="L172" s="1">
        <v>43888</v>
      </c>
      <c r="M172">
        <v>850</v>
      </c>
      <c r="N172">
        <v>16</v>
      </c>
      <c r="O172">
        <v>6</v>
      </c>
      <c r="P172">
        <v>16</v>
      </c>
      <c r="Q172">
        <v>6</v>
      </c>
      <c r="R172">
        <v>0</v>
      </c>
      <c r="S172">
        <v>1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1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5</v>
      </c>
      <c r="CI172">
        <v>4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3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2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</row>
    <row r="173" spans="1:467" hidden="1" x14ac:dyDescent="0.4">
      <c r="A173" t="str">
        <f>"9784103330639"</f>
        <v>9784103330639</v>
      </c>
      <c r="B173" t="str">
        <f>"4103330635"</f>
        <v>4103330635</v>
      </c>
      <c r="C173" t="s">
        <v>2209</v>
      </c>
      <c r="D173" t="s">
        <v>707</v>
      </c>
      <c r="E173" t="s">
        <v>516</v>
      </c>
      <c r="G173" t="str">
        <f>"0093"</f>
        <v>0093</v>
      </c>
      <c r="H173" t="s">
        <v>481</v>
      </c>
      <c r="I173" t="s">
        <v>1893</v>
      </c>
      <c r="J173" t="s">
        <v>488</v>
      </c>
      <c r="L173" s="1">
        <v>44280</v>
      </c>
      <c r="M173">
        <v>1700</v>
      </c>
      <c r="N173">
        <v>16</v>
      </c>
      <c r="O173">
        <v>13</v>
      </c>
      <c r="P173">
        <v>16</v>
      </c>
      <c r="Q173">
        <v>13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1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1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1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1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1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2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1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</v>
      </c>
      <c r="JO173">
        <v>0</v>
      </c>
      <c r="JP173">
        <v>0</v>
      </c>
      <c r="JQ173">
        <v>1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1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1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2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1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</row>
    <row r="174" spans="1:467" x14ac:dyDescent="0.4">
      <c r="A174" t="str">
        <f>"9784088828480"</f>
        <v>9784088828480</v>
      </c>
      <c r="B174" t="str">
        <f>"4088828488"</f>
        <v>4088828488</v>
      </c>
      <c r="C174" t="s">
        <v>2210</v>
      </c>
      <c r="D174" t="s">
        <v>1869</v>
      </c>
      <c r="E174" t="s">
        <v>536</v>
      </c>
      <c r="F174" t="s">
        <v>1854</v>
      </c>
      <c r="G174" t="str">
        <f>"9979"</f>
        <v>9979</v>
      </c>
      <c r="H174" t="s">
        <v>1855</v>
      </c>
      <c r="I174" t="s">
        <v>1856</v>
      </c>
      <c r="J174" t="s">
        <v>1856</v>
      </c>
      <c r="L174" s="1">
        <v>44553</v>
      </c>
      <c r="M174">
        <v>440</v>
      </c>
      <c r="N174">
        <v>16</v>
      </c>
      <c r="O174">
        <v>12</v>
      </c>
      <c r="P174">
        <v>16</v>
      </c>
      <c r="Q174">
        <v>12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2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1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1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1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1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1</v>
      </c>
      <c r="JO174">
        <v>0</v>
      </c>
      <c r="JP174">
        <v>1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2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1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1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1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  <c r="QJ174">
        <v>0</v>
      </c>
      <c r="QK174">
        <v>0</v>
      </c>
      <c r="QL174">
        <v>0</v>
      </c>
      <c r="QM174">
        <v>0</v>
      </c>
      <c r="QN174">
        <v>0</v>
      </c>
      <c r="QO174">
        <v>0</v>
      </c>
      <c r="QP174">
        <v>0</v>
      </c>
      <c r="QQ174">
        <v>0</v>
      </c>
      <c r="QR174">
        <v>0</v>
      </c>
      <c r="QS174">
        <v>0</v>
      </c>
      <c r="QT174">
        <v>0</v>
      </c>
      <c r="QU174">
        <v>0</v>
      </c>
      <c r="QV174">
        <v>0</v>
      </c>
      <c r="QW174">
        <v>0</v>
      </c>
      <c r="QX174">
        <v>0</v>
      </c>
      <c r="QY174">
        <v>0</v>
      </c>
    </row>
    <row r="175" spans="1:467" x14ac:dyDescent="0.4">
      <c r="A175" t="str">
        <f>"9784088925592"</f>
        <v>9784088925592</v>
      </c>
      <c r="B175" t="str">
        <f>"4088925599"</f>
        <v>4088925599</v>
      </c>
      <c r="C175" t="s">
        <v>2211</v>
      </c>
      <c r="D175" t="s">
        <v>1867</v>
      </c>
      <c r="E175" t="s">
        <v>536</v>
      </c>
      <c r="F175" t="s">
        <v>1859</v>
      </c>
      <c r="G175" t="str">
        <f>"9979"</f>
        <v>9979</v>
      </c>
      <c r="H175" t="s">
        <v>1855</v>
      </c>
      <c r="I175" t="s">
        <v>1856</v>
      </c>
      <c r="J175" t="s">
        <v>1856</v>
      </c>
      <c r="L175" s="1">
        <v>44914</v>
      </c>
      <c r="M175">
        <v>1000</v>
      </c>
      <c r="N175">
        <v>16</v>
      </c>
      <c r="O175">
        <v>12</v>
      </c>
      <c r="P175">
        <v>16</v>
      </c>
      <c r="Q175">
        <v>12</v>
      </c>
      <c r="R175">
        <v>0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1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1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1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1</v>
      </c>
      <c r="HV175">
        <v>1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4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1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1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1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0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</row>
    <row r="176" spans="1:467" hidden="1" x14ac:dyDescent="0.4">
      <c r="A176" t="str">
        <f>"9784163916422"</f>
        <v>9784163916422</v>
      </c>
      <c r="B176" t="str">
        <f>"4163916423"</f>
        <v>4163916423</v>
      </c>
      <c r="C176" t="s">
        <v>2212</v>
      </c>
      <c r="D176" t="s">
        <v>2213</v>
      </c>
      <c r="E176" t="s">
        <v>639</v>
      </c>
      <c r="G176" t="str">
        <f>"0098"</f>
        <v>0098</v>
      </c>
      <c r="H176" t="s">
        <v>481</v>
      </c>
      <c r="I176" t="s">
        <v>1893</v>
      </c>
      <c r="J176" t="s">
        <v>1894</v>
      </c>
      <c r="L176" s="1">
        <v>44903</v>
      </c>
      <c r="M176">
        <v>2700</v>
      </c>
      <c r="N176">
        <v>16</v>
      </c>
      <c r="O176">
        <v>12</v>
      </c>
      <c r="P176">
        <v>16</v>
      </c>
      <c r="Q176">
        <v>12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2</v>
      </c>
      <c r="CI176">
        <v>2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1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1</v>
      </c>
      <c r="FU176">
        <v>0</v>
      </c>
      <c r="FV176">
        <v>0</v>
      </c>
      <c r="FW176">
        <v>0</v>
      </c>
      <c r="FX176">
        <v>0</v>
      </c>
      <c r="FY176">
        <v>1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1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1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1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2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2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1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0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0</v>
      </c>
      <c r="QS176">
        <v>0</v>
      </c>
      <c r="QT176">
        <v>0</v>
      </c>
      <c r="QU176">
        <v>0</v>
      </c>
      <c r="QV176">
        <v>0</v>
      </c>
      <c r="QW176">
        <v>0</v>
      </c>
      <c r="QX176">
        <v>0</v>
      </c>
      <c r="QY176">
        <v>0</v>
      </c>
    </row>
    <row r="177" spans="1:467" x14ac:dyDescent="0.4">
      <c r="A177" t="str">
        <f>"9784088822297"</f>
        <v>9784088822297</v>
      </c>
      <c r="B177" t="str">
        <f>"4088822293"</f>
        <v>4088822293</v>
      </c>
      <c r="C177" t="s">
        <v>2214</v>
      </c>
      <c r="D177" t="s">
        <v>2006</v>
      </c>
      <c r="E177" t="s">
        <v>536</v>
      </c>
      <c r="F177" t="s">
        <v>1935</v>
      </c>
      <c r="G177" t="str">
        <f>"9979"</f>
        <v>9979</v>
      </c>
      <c r="H177" t="s">
        <v>1855</v>
      </c>
      <c r="I177" t="s">
        <v>1856</v>
      </c>
      <c r="J177" t="s">
        <v>1856</v>
      </c>
      <c r="L177" s="1">
        <v>43964</v>
      </c>
      <c r="M177">
        <v>480</v>
      </c>
      <c r="N177">
        <v>16</v>
      </c>
      <c r="O177">
        <v>11</v>
      </c>
      <c r="P177">
        <v>16</v>
      </c>
      <c r="Q177">
        <v>11</v>
      </c>
      <c r="R177">
        <v>0</v>
      </c>
      <c r="S177">
        <v>0</v>
      </c>
      <c r="T177">
        <v>1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1</v>
      </c>
      <c r="BF177">
        <v>0</v>
      </c>
      <c r="BG177">
        <v>0</v>
      </c>
      <c r="BH177">
        <v>0</v>
      </c>
      <c r="BI177">
        <v>1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1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1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1</v>
      </c>
      <c r="FP177">
        <v>0</v>
      </c>
      <c r="FQ177">
        <v>0</v>
      </c>
      <c r="FR177">
        <v>0</v>
      </c>
      <c r="FS177">
        <v>0</v>
      </c>
      <c r="FT177">
        <v>5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2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  <c r="QJ177">
        <v>0</v>
      </c>
      <c r="QK177">
        <v>0</v>
      </c>
      <c r="QL177">
        <v>0</v>
      </c>
      <c r="QM177">
        <v>0</v>
      </c>
      <c r="QN177">
        <v>0</v>
      </c>
      <c r="QO177">
        <v>1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0</v>
      </c>
      <c r="QY177">
        <v>0</v>
      </c>
    </row>
    <row r="178" spans="1:467" hidden="1" x14ac:dyDescent="0.4">
      <c r="A178" t="str">
        <f>"9784794973351"</f>
        <v>9784794973351</v>
      </c>
      <c r="B178" t="str">
        <f>"4794973357"</f>
        <v>4794973357</v>
      </c>
      <c r="C178" t="s">
        <v>2215</v>
      </c>
      <c r="D178" t="s">
        <v>2216</v>
      </c>
      <c r="E178" t="s">
        <v>2040</v>
      </c>
      <c r="G178" t="str">
        <f>"0095"</f>
        <v>0095</v>
      </c>
      <c r="H178" t="s">
        <v>481</v>
      </c>
      <c r="I178" t="s">
        <v>1893</v>
      </c>
      <c r="J178" t="s">
        <v>509</v>
      </c>
      <c r="L178" s="1">
        <v>44859</v>
      </c>
      <c r="M178">
        <v>1800</v>
      </c>
      <c r="N178">
        <v>16</v>
      </c>
      <c r="O178">
        <v>14</v>
      </c>
      <c r="P178">
        <v>16</v>
      </c>
      <c r="Q178">
        <v>14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1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1</v>
      </c>
      <c r="CJ178">
        <v>0</v>
      </c>
      <c r="CK178">
        <v>0</v>
      </c>
      <c r="CL178">
        <v>0</v>
      </c>
      <c r="CM178">
        <v>1</v>
      </c>
      <c r="CN178">
        <v>1</v>
      </c>
      <c r="CO178">
        <v>0</v>
      </c>
      <c r="CP178">
        <v>0</v>
      </c>
      <c r="CQ178">
        <v>1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1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1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3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1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1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1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1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1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0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</row>
    <row r="179" spans="1:467" x14ac:dyDescent="0.4">
      <c r="A179" t="str">
        <f>"9784088834405"</f>
        <v>9784088834405</v>
      </c>
      <c r="B179" t="str">
        <f>"4088834402"</f>
        <v>4088834402</v>
      </c>
      <c r="C179" t="s">
        <v>2217</v>
      </c>
      <c r="D179" t="s">
        <v>2218</v>
      </c>
      <c r="E179" t="s">
        <v>536</v>
      </c>
      <c r="F179" t="s">
        <v>1854</v>
      </c>
      <c r="G179" t="str">
        <f>"9979"</f>
        <v>9979</v>
      </c>
      <c r="H179" t="s">
        <v>1855</v>
      </c>
      <c r="I179" t="s">
        <v>1856</v>
      </c>
      <c r="J179" t="s">
        <v>1856</v>
      </c>
      <c r="L179" s="1">
        <v>44930</v>
      </c>
      <c r="M179">
        <v>480</v>
      </c>
      <c r="N179">
        <v>16</v>
      </c>
      <c r="O179">
        <v>14</v>
      </c>
      <c r="P179">
        <v>16</v>
      </c>
      <c r="Q179">
        <v>14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1</v>
      </c>
      <c r="BH179">
        <v>0</v>
      </c>
      <c r="BI179">
        <v>0</v>
      </c>
      <c r="BJ179">
        <v>0</v>
      </c>
      <c r="BK179">
        <v>0</v>
      </c>
      <c r="BL179">
        <v>1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1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1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1</v>
      </c>
      <c r="HF179">
        <v>0</v>
      </c>
      <c r="HG179">
        <v>0</v>
      </c>
      <c r="HH179">
        <v>1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1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1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3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1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1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1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  <c r="QJ179">
        <v>0</v>
      </c>
      <c r="QK179">
        <v>0</v>
      </c>
      <c r="QL179">
        <v>0</v>
      </c>
      <c r="QM179">
        <v>0</v>
      </c>
      <c r="QN179">
        <v>0</v>
      </c>
      <c r="QO179">
        <v>0</v>
      </c>
      <c r="QP179">
        <v>0</v>
      </c>
      <c r="QQ179">
        <v>0</v>
      </c>
      <c r="QR179">
        <v>0</v>
      </c>
      <c r="QS179">
        <v>0</v>
      </c>
      <c r="QT179">
        <v>0</v>
      </c>
      <c r="QU179">
        <v>0</v>
      </c>
      <c r="QV179">
        <v>0</v>
      </c>
      <c r="QW179">
        <v>0</v>
      </c>
      <c r="QX179">
        <v>0</v>
      </c>
      <c r="QY179">
        <v>0</v>
      </c>
    </row>
    <row r="180" spans="1:467" hidden="1" x14ac:dyDescent="0.4">
      <c r="A180" t="str">
        <f>"9784591174326"</f>
        <v>9784591174326</v>
      </c>
      <c r="B180" t="str">
        <f>"4591174328"</f>
        <v>4591174328</v>
      </c>
      <c r="C180" t="s">
        <v>2219</v>
      </c>
      <c r="D180" t="s">
        <v>1766</v>
      </c>
      <c r="E180" t="s">
        <v>572</v>
      </c>
      <c r="G180" t="str">
        <f>"0095"</f>
        <v>0095</v>
      </c>
      <c r="H180" t="s">
        <v>481</v>
      </c>
      <c r="I180" t="s">
        <v>1893</v>
      </c>
      <c r="J180" t="s">
        <v>509</v>
      </c>
      <c r="L180" s="1">
        <v>44768</v>
      </c>
      <c r="M180">
        <v>1500</v>
      </c>
      <c r="N180">
        <v>16</v>
      </c>
      <c r="O180">
        <v>16</v>
      </c>
      <c r="P180">
        <v>16</v>
      </c>
      <c r="Q180">
        <v>16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1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1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1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1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1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1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1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1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1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1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1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1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1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1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</v>
      </c>
      <c r="QK180">
        <v>0</v>
      </c>
      <c r="QL180">
        <v>0</v>
      </c>
      <c r="QM180">
        <v>0</v>
      </c>
      <c r="QN180">
        <v>0</v>
      </c>
      <c r="QO180">
        <v>0</v>
      </c>
      <c r="QP180">
        <v>0</v>
      </c>
      <c r="QQ180">
        <v>1</v>
      </c>
      <c r="QR180">
        <v>0</v>
      </c>
      <c r="QS180">
        <v>1</v>
      </c>
      <c r="QT180">
        <v>0</v>
      </c>
      <c r="QU180">
        <v>0</v>
      </c>
      <c r="QV180">
        <v>0</v>
      </c>
      <c r="QW180">
        <v>0</v>
      </c>
      <c r="QX180">
        <v>0</v>
      </c>
      <c r="QY180">
        <v>0</v>
      </c>
    </row>
    <row r="181" spans="1:467" hidden="1" x14ac:dyDescent="0.4">
      <c r="A181" t="str">
        <f>"9784058019412"</f>
        <v>9784058019412</v>
      </c>
      <c r="B181" t="str">
        <f>"4058019417"</f>
        <v>4058019417</v>
      </c>
      <c r="C181" t="s">
        <v>2220</v>
      </c>
      <c r="D181" t="s">
        <v>2198</v>
      </c>
      <c r="E181" t="s">
        <v>2199</v>
      </c>
      <c r="G181" t="str">
        <f>"0326"</f>
        <v>0326</v>
      </c>
      <c r="H181" t="s">
        <v>481</v>
      </c>
      <c r="I181" t="s">
        <v>1877</v>
      </c>
      <c r="J181" t="s">
        <v>2110</v>
      </c>
      <c r="L181" s="1">
        <v>44903</v>
      </c>
      <c r="M181">
        <v>1800</v>
      </c>
      <c r="N181">
        <v>16</v>
      </c>
      <c r="O181">
        <v>14</v>
      </c>
      <c r="P181">
        <v>16</v>
      </c>
      <c r="Q181">
        <v>14</v>
      </c>
      <c r="R181">
        <v>0</v>
      </c>
      <c r="S181">
        <v>1</v>
      </c>
      <c r="T181">
        <v>1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2</v>
      </c>
      <c r="CI181">
        <v>2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1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1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1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1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1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1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1</v>
      </c>
      <c r="JN181">
        <v>0</v>
      </c>
      <c r="JO181">
        <v>0</v>
      </c>
      <c r="JP181">
        <v>0</v>
      </c>
      <c r="JQ181">
        <v>1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1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1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</row>
    <row r="182" spans="1:467" x14ac:dyDescent="0.4">
      <c r="A182" t="str">
        <f>"9784088834207"</f>
        <v>9784088834207</v>
      </c>
      <c r="B182" t="str">
        <f>"4088834208"</f>
        <v>4088834208</v>
      </c>
      <c r="C182" t="s">
        <v>2221</v>
      </c>
      <c r="D182" t="s">
        <v>2222</v>
      </c>
      <c r="E182" t="s">
        <v>536</v>
      </c>
      <c r="F182" t="s">
        <v>1854</v>
      </c>
      <c r="G182" t="str">
        <f>"9979"</f>
        <v>9979</v>
      </c>
      <c r="H182" t="s">
        <v>1855</v>
      </c>
      <c r="I182" t="s">
        <v>1856</v>
      </c>
      <c r="J182" t="s">
        <v>1856</v>
      </c>
      <c r="L182" s="1">
        <v>44930</v>
      </c>
      <c r="M182">
        <v>480</v>
      </c>
      <c r="N182">
        <v>16</v>
      </c>
      <c r="O182">
        <v>13</v>
      </c>
      <c r="P182">
        <v>16</v>
      </c>
      <c r="Q182">
        <v>13</v>
      </c>
      <c r="R182">
        <v>0</v>
      </c>
      <c r="S182">
        <v>1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2</v>
      </c>
      <c r="AJ182">
        <v>0</v>
      </c>
      <c r="AK182">
        <v>0</v>
      </c>
      <c r="AL182">
        <v>2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1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1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2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1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1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1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</row>
    <row r="183" spans="1:467" x14ac:dyDescent="0.4">
      <c r="A183" t="str">
        <f>"9784065210185"</f>
        <v>9784065210185</v>
      </c>
      <c r="B183" t="str">
        <f>"4065210186"</f>
        <v>4065210186</v>
      </c>
      <c r="C183" t="s">
        <v>2223</v>
      </c>
      <c r="D183" t="s">
        <v>1902</v>
      </c>
      <c r="E183" t="s">
        <v>548</v>
      </c>
      <c r="F183" t="s">
        <v>1862</v>
      </c>
      <c r="G183" t="str">
        <f>"9979"</f>
        <v>9979</v>
      </c>
      <c r="H183" t="s">
        <v>1855</v>
      </c>
      <c r="I183" t="s">
        <v>1856</v>
      </c>
      <c r="J183" t="s">
        <v>1856</v>
      </c>
      <c r="L183" s="1">
        <v>44120</v>
      </c>
      <c r="M183">
        <v>480</v>
      </c>
      <c r="N183">
        <v>15</v>
      </c>
      <c r="O183">
        <v>13</v>
      </c>
      <c r="P183">
        <v>15</v>
      </c>
      <c r="Q183">
        <v>13</v>
      </c>
      <c r="R183">
        <v>0</v>
      </c>
      <c r="S183">
        <v>0</v>
      </c>
      <c r="T183">
        <v>1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1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2</v>
      </c>
      <c r="BC183">
        <v>0</v>
      </c>
      <c r="BD183">
        <v>0</v>
      </c>
      <c r="BE183">
        <v>0</v>
      </c>
      <c r="BF183">
        <v>0</v>
      </c>
      <c r="BG183">
        <v>1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1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2</v>
      </c>
      <c r="FP183">
        <v>0</v>
      </c>
      <c r="FQ183">
        <v>0</v>
      </c>
      <c r="FR183">
        <v>0</v>
      </c>
      <c r="FS183">
        <v>0</v>
      </c>
      <c r="FT183">
        <v>1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1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1</v>
      </c>
      <c r="KC183">
        <v>0</v>
      </c>
      <c r="KD183">
        <v>0</v>
      </c>
      <c r="KE183">
        <v>0</v>
      </c>
      <c r="KF183">
        <v>1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1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0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</row>
    <row r="184" spans="1:467" hidden="1" x14ac:dyDescent="0.4">
      <c r="A184" t="str">
        <f>"9784562072057"</f>
        <v>9784562072057</v>
      </c>
      <c r="B184" t="str">
        <f>"4562072059"</f>
        <v>4562072059</v>
      </c>
      <c r="C184" t="s">
        <v>2224</v>
      </c>
      <c r="D184" t="s">
        <v>2225</v>
      </c>
      <c r="E184" t="s">
        <v>2226</v>
      </c>
      <c r="G184" t="str">
        <f>"0098"</f>
        <v>0098</v>
      </c>
      <c r="H184" t="s">
        <v>481</v>
      </c>
      <c r="I184" t="s">
        <v>1893</v>
      </c>
      <c r="J184" t="s">
        <v>1894</v>
      </c>
      <c r="L184" s="1">
        <v>44893</v>
      </c>
      <c r="M184">
        <v>2800</v>
      </c>
      <c r="N184">
        <v>15</v>
      </c>
      <c r="O184">
        <v>13</v>
      </c>
      <c r="P184">
        <v>15</v>
      </c>
      <c r="Q184">
        <v>13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1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1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1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2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2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1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1</v>
      </c>
      <c r="LT184">
        <v>0</v>
      </c>
      <c r="LU184">
        <v>0</v>
      </c>
      <c r="LV184">
        <v>1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1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1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0</v>
      </c>
      <c r="QQ184">
        <v>0</v>
      </c>
      <c r="QR184">
        <v>0</v>
      </c>
      <c r="QS184">
        <v>0</v>
      </c>
      <c r="QT184">
        <v>0</v>
      </c>
      <c r="QU184">
        <v>0</v>
      </c>
      <c r="QV184">
        <v>0</v>
      </c>
      <c r="QW184">
        <v>0</v>
      </c>
      <c r="QX184">
        <v>0</v>
      </c>
      <c r="QY184">
        <v>0</v>
      </c>
    </row>
    <row r="185" spans="1:467" x14ac:dyDescent="0.4">
      <c r="A185" t="str">
        <f>"9784088834191"</f>
        <v>9784088834191</v>
      </c>
      <c r="B185" t="str">
        <f>"4088834194"</f>
        <v>4088834194</v>
      </c>
      <c r="C185" t="s">
        <v>2227</v>
      </c>
      <c r="D185" t="s">
        <v>2228</v>
      </c>
      <c r="E185" t="s">
        <v>536</v>
      </c>
      <c r="F185" t="s">
        <v>1854</v>
      </c>
      <c r="G185" t="str">
        <f t="shared" ref="G185:G193" si="4">"9979"</f>
        <v>9979</v>
      </c>
      <c r="H185" t="s">
        <v>1855</v>
      </c>
      <c r="I185" t="s">
        <v>1856</v>
      </c>
      <c r="J185" t="s">
        <v>1856</v>
      </c>
      <c r="L185" s="1">
        <v>44897</v>
      </c>
      <c r="M185">
        <v>480</v>
      </c>
      <c r="N185">
        <v>15</v>
      </c>
      <c r="O185">
        <v>14</v>
      </c>
      <c r="P185">
        <v>15</v>
      </c>
      <c r="Q185">
        <v>14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1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1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1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1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1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1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1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1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1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2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1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1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1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</v>
      </c>
      <c r="QQ185">
        <v>1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</row>
    <row r="186" spans="1:467" x14ac:dyDescent="0.4">
      <c r="A186" t="str">
        <f>"9784065262863"</f>
        <v>9784065262863</v>
      </c>
      <c r="B186" t="str">
        <f>"4065262860"</f>
        <v>4065262860</v>
      </c>
      <c r="C186" t="s">
        <v>2229</v>
      </c>
      <c r="D186" t="s">
        <v>1902</v>
      </c>
      <c r="E186" t="s">
        <v>548</v>
      </c>
      <c r="F186" t="s">
        <v>1862</v>
      </c>
      <c r="G186" t="str">
        <f t="shared" si="4"/>
        <v>9979</v>
      </c>
      <c r="H186" t="s">
        <v>1855</v>
      </c>
      <c r="I186" t="s">
        <v>1856</v>
      </c>
      <c r="J186" t="s">
        <v>1856</v>
      </c>
      <c r="L186" s="1">
        <v>44547</v>
      </c>
      <c r="M186">
        <v>480</v>
      </c>
      <c r="N186">
        <v>15</v>
      </c>
      <c r="O186">
        <v>13</v>
      </c>
      <c r="P186">
        <v>15</v>
      </c>
      <c r="Q186">
        <v>13</v>
      </c>
      <c r="R186">
        <v>0</v>
      </c>
      <c r="S186">
        <v>0</v>
      </c>
      <c r="T186">
        <v>1</v>
      </c>
      <c r="U186">
        <v>0</v>
      </c>
      <c r="V186">
        <v>0</v>
      </c>
      <c r="W186">
        <v>1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1</v>
      </c>
      <c r="BC186">
        <v>0</v>
      </c>
      <c r="BD186">
        <v>0</v>
      </c>
      <c r="BE186">
        <v>0</v>
      </c>
      <c r="BF186">
        <v>0</v>
      </c>
      <c r="BG186">
        <v>1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1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2</v>
      </c>
      <c r="FP186">
        <v>0</v>
      </c>
      <c r="FQ186">
        <v>0</v>
      </c>
      <c r="FR186">
        <v>0</v>
      </c>
      <c r="FS186">
        <v>0</v>
      </c>
      <c r="FT186">
        <v>1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1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1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2</v>
      </c>
      <c r="KC186">
        <v>0</v>
      </c>
      <c r="KD186">
        <v>0</v>
      </c>
      <c r="KE186">
        <v>0</v>
      </c>
      <c r="KF186">
        <v>1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1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0</v>
      </c>
      <c r="QY186">
        <v>0</v>
      </c>
    </row>
    <row r="187" spans="1:467" x14ac:dyDescent="0.4">
      <c r="A187" t="str">
        <f>"9784088833927"</f>
        <v>9784088833927</v>
      </c>
      <c r="B187" t="str">
        <f>"4088833929"</f>
        <v>4088833929</v>
      </c>
      <c r="C187" t="s">
        <v>2230</v>
      </c>
      <c r="D187" t="s">
        <v>2231</v>
      </c>
      <c r="E187" t="s">
        <v>536</v>
      </c>
      <c r="F187" t="s">
        <v>1935</v>
      </c>
      <c r="G187" t="str">
        <f t="shared" si="4"/>
        <v>9979</v>
      </c>
      <c r="H187" t="s">
        <v>1855</v>
      </c>
      <c r="I187" t="s">
        <v>1856</v>
      </c>
      <c r="J187" t="s">
        <v>1856</v>
      </c>
      <c r="L187" s="1">
        <v>44930</v>
      </c>
      <c r="M187">
        <v>650</v>
      </c>
      <c r="N187">
        <v>15</v>
      </c>
      <c r="O187">
        <v>10</v>
      </c>
      <c r="P187">
        <v>15</v>
      </c>
      <c r="Q187">
        <v>10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3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2</v>
      </c>
      <c r="CI187">
        <v>1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1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1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3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1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1</v>
      </c>
      <c r="KC187">
        <v>0</v>
      </c>
      <c r="KD187">
        <v>0</v>
      </c>
      <c r="KE187">
        <v>0</v>
      </c>
      <c r="KF187">
        <v>1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1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</row>
    <row r="188" spans="1:467" x14ac:dyDescent="0.4">
      <c r="A188" t="str">
        <f>"9784088825458"</f>
        <v>9784088825458</v>
      </c>
      <c r="B188" t="str">
        <f>"4088825454"</f>
        <v>4088825454</v>
      </c>
      <c r="C188" t="s">
        <v>2232</v>
      </c>
      <c r="D188" t="s">
        <v>2006</v>
      </c>
      <c r="E188" t="s">
        <v>536</v>
      </c>
      <c r="F188" t="s">
        <v>1935</v>
      </c>
      <c r="G188" t="str">
        <f t="shared" si="4"/>
        <v>9979</v>
      </c>
      <c r="H188" t="s">
        <v>1855</v>
      </c>
      <c r="I188" t="s">
        <v>1856</v>
      </c>
      <c r="J188" t="s">
        <v>1856</v>
      </c>
      <c r="L188" s="1">
        <v>44190</v>
      </c>
      <c r="M188">
        <v>480</v>
      </c>
      <c r="N188">
        <v>15</v>
      </c>
      <c r="O188">
        <v>10</v>
      </c>
      <c r="P188">
        <v>15</v>
      </c>
      <c r="Q188">
        <v>10</v>
      </c>
      <c r="R188">
        <v>0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1</v>
      </c>
      <c r="BF188">
        <v>0</v>
      </c>
      <c r="BG188">
        <v>0</v>
      </c>
      <c r="BH188">
        <v>0</v>
      </c>
      <c r="BI188">
        <v>1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1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1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1</v>
      </c>
      <c r="FP188">
        <v>0</v>
      </c>
      <c r="FQ188">
        <v>0</v>
      </c>
      <c r="FR188">
        <v>0</v>
      </c>
      <c r="FS188">
        <v>0</v>
      </c>
      <c r="FT188">
        <v>6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1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1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</row>
    <row r="189" spans="1:467" x14ac:dyDescent="0.4">
      <c r="A189" t="str">
        <f>"9784088833743"</f>
        <v>9784088833743</v>
      </c>
      <c r="B189" t="str">
        <f>"4088833740"</f>
        <v>4088833740</v>
      </c>
      <c r="C189" t="s">
        <v>2233</v>
      </c>
      <c r="D189" t="s">
        <v>2234</v>
      </c>
      <c r="E189" t="s">
        <v>536</v>
      </c>
      <c r="F189" t="s">
        <v>1935</v>
      </c>
      <c r="G189" t="str">
        <f t="shared" si="4"/>
        <v>9979</v>
      </c>
      <c r="H189" t="s">
        <v>1855</v>
      </c>
      <c r="I189" t="s">
        <v>1856</v>
      </c>
      <c r="J189" t="s">
        <v>1856</v>
      </c>
      <c r="L189" s="1">
        <v>44930</v>
      </c>
      <c r="M189">
        <v>650</v>
      </c>
      <c r="N189">
        <v>15</v>
      </c>
      <c r="O189">
        <v>11</v>
      </c>
      <c r="P189">
        <v>15</v>
      </c>
      <c r="Q189">
        <v>11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2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1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1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1</v>
      </c>
      <c r="FB189">
        <v>0</v>
      </c>
      <c r="FC189">
        <v>0</v>
      </c>
      <c r="FD189">
        <v>1</v>
      </c>
      <c r="FE189">
        <v>0</v>
      </c>
      <c r="FF189">
        <v>0</v>
      </c>
      <c r="FG189">
        <v>0</v>
      </c>
      <c r="FH189">
        <v>1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1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3</v>
      </c>
      <c r="JG189">
        <v>0</v>
      </c>
      <c r="JH189">
        <v>1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2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</v>
      </c>
      <c r="QS189">
        <v>0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</row>
    <row r="190" spans="1:467" x14ac:dyDescent="0.4">
      <c r="A190" t="str">
        <f>"9784832273887"</f>
        <v>9784832273887</v>
      </c>
      <c r="B190" t="str">
        <f>"4832273884"</f>
        <v>4832273884</v>
      </c>
      <c r="C190" t="s">
        <v>2235</v>
      </c>
      <c r="D190" t="s">
        <v>2143</v>
      </c>
      <c r="E190" t="s">
        <v>2144</v>
      </c>
      <c r="F190" t="s">
        <v>2236</v>
      </c>
      <c r="G190" t="str">
        <f t="shared" si="4"/>
        <v>9979</v>
      </c>
      <c r="H190" t="s">
        <v>1855</v>
      </c>
      <c r="I190" t="s">
        <v>1856</v>
      </c>
      <c r="J190" t="s">
        <v>1856</v>
      </c>
      <c r="L190" s="1">
        <v>44799</v>
      </c>
      <c r="M190">
        <v>880</v>
      </c>
      <c r="N190">
        <v>15</v>
      </c>
      <c r="O190">
        <v>6</v>
      </c>
      <c r="P190">
        <v>15</v>
      </c>
      <c r="Q190">
        <v>6</v>
      </c>
      <c r="R190">
        <v>0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1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5</v>
      </c>
      <c r="CI190">
        <v>5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2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  <c r="NK190">
        <v>0</v>
      </c>
      <c r="NL190">
        <v>0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1</v>
      </c>
      <c r="NZ190">
        <v>0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0</v>
      </c>
      <c r="PD190">
        <v>0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0</v>
      </c>
      <c r="PO190">
        <v>0</v>
      </c>
      <c r="PP190">
        <v>0</v>
      </c>
      <c r="PQ190">
        <v>0</v>
      </c>
      <c r="PR190">
        <v>0</v>
      </c>
      <c r="PS190">
        <v>0</v>
      </c>
      <c r="PT190">
        <v>0</v>
      </c>
      <c r="PU190">
        <v>0</v>
      </c>
      <c r="PV190">
        <v>0</v>
      </c>
      <c r="PW190">
        <v>0</v>
      </c>
      <c r="PX190">
        <v>0</v>
      </c>
      <c r="PY190">
        <v>0</v>
      </c>
      <c r="PZ190">
        <v>0</v>
      </c>
      <c r="QA190">
        <v>0</v>
      </c>
      <c r="QB190">
        <v>0</v>
      </c>
      <c r="QC190">
        <v>0</v>
      </c>
      <c r="QD190">
        <v>0</v>
      </c>
      <c r="QE190">
        <v>0</v>
      </c>
      <c r="QF190">
        <v>0</v>
      </c>
      <c r="QG190">
        <v>0</v>
      </c>
      <c r="QH190">
        <v>0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</row>
    <row r="191" spans="1:467" x14ac:dyDescent="0.4">
      <c r="A191" t="str">
        <f>"9784088821832"</f>
        <v>9784088821832</v>
      </c>
      <c r="B191" t="str">
        <f>"4088821831"</f>
        <v>4088821831</v>
      </c>
      <c r="C191" t="s">
        <v>2237</v>
      </c>
      <c r="D191" t="s">
        <v>2006</v>
      </c>
      <c r="E191" t="s">
        <v>536</v>
      </c>
      <c r="F191" t="s">
        <v>1935</v>
      </c>
      <c r="G191" t="str">
        <f t="shared" si="4"/>
        <v>9979</v>
      </c>
      <c r="H191" t="s">
        <v>1855</v>
      </c>
      <c r="I191" t="s">
        <v>1856</v>
      </c>
      <c r="J191" t="s">
        <v>1856</v>
      </c>
      <c r="L191" s="1">
        <v>43834</v>
      </c>
      <c r="M191">
        <v>480</v>
      </c>
      <c r="N191">
        <v>15</v>
      </c>
      <c r="O191">
        <v>10</v>
      </c>
      <c r="P191">
        <v>15</v>
      </c>
      <c r="Q191">
        <v>10</v>
      </c>
      <c r="R191">
        <v>0</v>
      </c>
      <c r="S191">
        <v>0</v>
      </c>
      <c r="T191">
        <v>1</v>
      </c>
      <c r="U191">
        <v>0</v>
      </c>
      <c r="V191">
        <v>0</v>
      </c>
      <c r="W191">
        <v>1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1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1</v>
      </c>
      <c r="FP191">
        <v>0</v>
      </c>
      <c r="FQ191">
        <v>0</v>
      </c>
      <c r="FR191">
        <v>0</v>
      </c>
      <c r="FS191">
        <v>0</v>
      </c>
      <c r="FT191">
        <v>6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1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1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0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0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  <c r="PB191">
        <v>0</v>
      </c>
      <c r="PC191">
        <v>0</v>
      </c>
      <c r="PD191">
        <v>0</v>
      </c>
      <c r="PE191">
        <v>0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0</v>
      </c>
      <c r="PL191">
        <v>0</v>
      </c>
      <c r="PM191">
        <v>0</v>
      </c>
      <c r="PN191">
        <v>0</v>
      </c>
      <c r="PO191">
        <v>0</v>
      </c>
      <c r="PP191">
        <v>0</v>
      </c>
      <c r="PQ191">
        <v>0</v>
      </c>
      <c r="PR191">
        <v>0</v>
      </c>
      <c r="PS191">
        <v>0</v>
      </c>
      <c r="PT191">
        <v>0</v>
      </c>
      <c r="PU191">
        <v>0</v>
      </c>
      <c r="PV191">
        <v>0</v>
      </c>
      <c r="PW191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</row>
    <row r="192" spans="1:467" x14ac:dyDescent="0.4">
      <c r="A192" t="str">
        <f>"9784065144473"</f>
        <v>9784065144473</v>
      </c>
      <c r="B192" t="str">
        <f>"4065144477"</f>
        <v>4065144477</v>
      </c>
      <c r="C192" t="s">
        <v>2238</v>
      </c>
      <c r="D192" t="s">
        <v>1902</v>
      </c>
      <c r="E192" t="s">
        <v>548</v>
      </c>
      <c r="F192" t="s">
        <v>1862</v>
      </c>
      <c r="G192" t="str">
        <f t="shared" si="4"/>
        <v>9979</v>
      </c>
      <c r="H192" t="s">
        <v>1855</v>
      </c>
      <c r="I192" t="s">
        <v>1856</v>
      </c>
      <c r="J192" t="s">
        <v>1856</v>
      </c>
      <c r="L192" s="1">
        <v>43539</v>
      </c>
      <c r="M192">
        <v>480</v>
      </c>
      <c r="N192">
        <v>15</v>
      </c>
      <c r="O192">
        <v>12</v>
      </c>
      <c r="P192">
        <v>15</v>
      </c>
      <c r="Q192">
        <v>12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2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1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2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1</v>
      </c>
      <c r="IM192">
        <v>0</v>
      </c>
      <c r="IN192">
        <v>1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1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1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2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1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</row>
    <row r="193" spans="1:467" x14ac:dyDescent="0.4">
      <c r="A193" t="str">
        <f>"9784832270725"</f>
        <v>9784832270725</v>
      </c>
      <c r="B193" t="str">
        <f>"4832270729"</f>
        <v>4832270729</v>
      </c>
      <c r="C193" t="s">
        <v>2239</v>
      </c>
      <c r="D193" t="s">
        <v>2143</v>
      </c>
      <c r="E193" t="s">
        <v>2144</v>
      </c>
      <c r="F193" t="s">
        <v>2240</v>
      </c>
      <c r="G193" t="str">
        <f t="shared" si="4"/>
        <v>9979</v>
      </c>
      <c r="H193" t="s">
        <v>1855</v>
      </c>
      <c r="I193" t="s">
        <v>1856</v>
      </c>
      <c r="J193" t="s">
        <v>1856</v>
      </c>
      <c r="L193" s="1">
        <v>43523</v>
      </c>
      <c r="M193">
        <v>819</v>
      </c>
      <c r="N193">
        <v>15</v>
      </c>
      <c r="O193">
        <v>6</v>
      </c>
      <c r="P193">
        <v>15</v>
      </c>
      <c r="Q193">
        <v>6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1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5</v>
      </c>
      <c r="CI193">
        <v>4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2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2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</row>
    <row r="194" spans="1:467" hidden="1" x14ac:dyDescent="0.4">
      <c r="A194" t="str">
        <f>"9784815804008"</f>
        <v>9784815804008</v>
      </c>
      <c r="B194" t="str">
        <f>"4815804001"</f>
        <v>4815804001</v>
      </c>
      <c r="C194" t="s">
        <v>2241</v>
      </c>
      <c r="D194" t="s">
        <v>2242</v>
      </c>
      <c r="E194" t="s">
        <v>2078</v>
      </c>
      <c r="G194" t="str">
        <f>"3098"</f>
        <v>3098</v>
      </c>
      <c r="H194" t="s">
        <v>761</v>
      </c>
      <c r="I194" t="s">
        <v>1893</v>
      </c>
      <c r="J194" t="s">
        <v>1894</v>
      </c>
      <c r="K194" t="s">
        <v>2243</v>
      </c>
      <c r="L194" s="1">
        <v>36923</v>
      </c>
      <c r="M194">
        <v>3800</v>
      </c>
      <c r="N194">
        <v>15</v>
      </c>
      <c r="O194">
        <v>12</v>
      </c>
      <c r="P194">
        <v>15</v>
      </c>
      <c r="Q194">
        <v>12</v>
      </c>
      <c r="R194">
        <v>0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2</v>
      </c>
      <c r="CI194">
        <v>3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1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1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1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1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1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1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1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1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</row>
    <row r="195" spans="1:467" x14ac:dyDescent="0.4">
      <c r="A195" t="str">
        <f>"9784065171677"</f>
        <v>9784065171677</v>
      </c>
      <c r="B195" t="str">
        <f>"4065171679"</f>
        <v>4065171679</v>
      </c>
      <c r="C195" t="s">
        <v>2244</v>
      </c>
      <c r="D195" t="s">
        <v>1902</v>
      </c>
      <c r="E195" t="s">
        <v>548</v>
      </c>
      <c r="F195" t="s">
        <v>1862</v>
      </c>
      <c r="G195" t="str">
        <f>"9979"</f>
        <v>9979</v>
      </c>
      <c r="H195" t="s">
        <v>1855</v>
      </c>
      <c r="I195" t="s">
        <v>1856</v>
      </c>
      <c r="J195" t="s">
        <v>1856</v>
      </c>
      <c r="L195" s="1">
        <v>43755</v>
      </c>
      <c r="M195">
        <v>480</v>
      </c>
      <c r="N195">
        <v>15</v>
      </c>
      <c r="O195">
        <v>10</v>
      </c>
      <c r="P195">
        <v>15</v>
      </c>
      <c r="Q195">
        <v>10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1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2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2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2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1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1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1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2</v>
      </c>
      <c r="KC195">
        <v>0</v>
      </c>
      <c r="KD195">
        <v>0</v>
      </c>
      <c r="KE195">
        <v>0</v>
      </c>
      <c r="KF195">
        <v>1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2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</row>
    <row r="196" spans="1:467" hidden="1" x14ac:dyDescent="0.4">
      <c r="A196" t="str">
        <f>"9784469222777"</f>
        <v>9784469222777</v>
      </c>
      <c r="B196" t="str">
        <f>"4469222771"</f>
        <v>4469222771</v>
      </c>
      <c r="C196" t="s">
        <v>2245</v>
      </c>
      <c r="D196" t="s">
        <v>2246</v>
      </c>
      <c r="E196" t="s">
        <v>1977</v>
      </c>
      <c r="G196" t="str">
        <f>"3091"</f>
        <v>3091</v>
      </c>
      <c r="H196" t="s">
        <v>761</v>
      </c>
      <c r="I196" t="s">
        <v>1893</v>
      </c>
      <c r="J196" t="s">
        <v>558</v>
      </c>
      <c r="L196" s="1">
        <v>44923</v>
      </c>
      <c r="M196">
        <v>2600</v>
      </c>
      <c r="N196">
        <v>15</v>
      </c>
      <c r="O196">
        <v>15</v>
      </c>
      <c r="P196">
        <v>15</v>
      </c>
      <c r="Q196">
        <v>15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1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1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1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1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1</v>
      </c>
      <c r="JN196">
        <v>1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1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1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1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1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1</v>
      </c>
      <c r="PL196">
        <v>0</v>
      </c>
      <c r="PM196">
        <v>0</v>
      </c>
      <c r="PN196">
        <v>0</v>
      </c>
      <c r="PO196">
        <v>0</v>
      </c>
      <c r="PP196">
        <v>1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1</v>
      </c>
      <c r="QL196">
        <v>0</v>
      </c>
      <c r="QM196">
        <v>0</v>
      </c>
      <c r="QN196">
        <v>0</v>
      </c>
      <c r="QO196">
        <v>1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</row>
    <row r="197" spans="1:467" x14ac:dyDescent="0.4">
      <c r="A197" t="str">
        <f>"9784065141212"</f>
        <v>9784065141212</v>
      </c>
      <c r="B197" t="str">
        <f>"4065141214"</f>
        <v>4065141214</v>
      </c>
      <c r="C197" t="s">
        <v>2247</v>
      </c>
      <c r="D197" t="s">
        <v>1902</v>
      </c>
      <c r="E197" t="s">
        <v>548</v>
      </c>
      <c r="F197" t="s">
        <v>1862</v>
      </c>
      <c r="G197" t="str">
        <f>"9979"</f>
        <v>9979</v>
      </c>
      <c r="H197" t="s">
        <v>1855</v>
      </c>
      <c r="I197" t="s">
        <v>1856</v>
      </c>
      <c r="J197" t="s">
        <v>1856</v>
      </c>
      <c r="L197" s="1">
        <v>43482</v>
      </c>
      <c r="M197">
        <v>480</v>
      </c>
      <c r="N197">
        <v>15</v>
      </c>
      <c r="O197">
        <v>12</v>
      </c>
      <c r="P197">
        <v>15</v>
      </c>
      <c r="Q197">
        <v>12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1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3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1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1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</v>
      </c>
      <c r="FP197">
        <v>0</v>
      </c>
      <c r="FQ197">
        <v>0</v>
      </c>
      <c r="FR197">
        <v>0</v>
      </c>
      <c r="FS197">
        <v>0</v>
      </c>
      <c r="FT197">
        <v>1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1</v>
      </c>
      <c r="IM197">
        <v>0</v>
      </c>
      <c r="IN197">
        <v>1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1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1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2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1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</row>
    <row r="198" spans="1:467" x14ac:dyDescent="0.4">
      <c r="A198" t="str">
        <f>"9784065304853"</f>
        <v>9784065304853</v>
      </c>
      <c r="B198" t="str">
        <f>"4065304857"</f>
        <v>4065304857</v>
      </c>
      <c r="C198" t="s">
        <v>2248</v>
      </c>
      <c r="D198" t="s">
        <v>2249</v>
      </c>
      <c r="E198" t="s">
        <v>548</v>
      </c>
      <c r="F198" t="s">
        <v>1873</v>
      </c>
      <c r="G198" t="str">
        <f>"9979"</f>
        <v>9979</v>
      </c>
      <c r="H198" t="s">
        <v>1855</v>
      </c>
      <c r="I198" t="s">
        <v>1856</v>
      </c>
      <c r="J198" t="s">
        <v>1856</v>
      </c>
      <c r="L198" s="1">
        <v>44949</v>
      </c>
      <c r="M198">
        <v>660</v>
      </c>
      <c r="N198">
        <v>15</v>
      </c>
      <c r="O198">
        <v>14</v>
      </c>
      <c r="P198">
        <v>15</v>
      </c>
      <c r="Q198">
        <v>14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1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2</v>
      </c>
      <c r="GO198">
        <v>0</v>
      </c>
      <c r="GP198">
        <v>0</v>
      </c>
      <c r="GQ198">
        <v>0</v>
      </c>
      <c r="GR198">
        <v>1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1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1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1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1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1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1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1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1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1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1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</row>
    <row r="199" spans="1:467" hidden="1" x14ac:dyDescent="0.4">
      <c r="A199" t="str">
        <f>"9784118971414"</f>
        <v>9784118971414</v>
      </c>
      <c r="B199" t="str">
        <f>"4118971410"</f>
        <v>4118971410</v>
      </c>
      <c r="C199" t="s">
        <v>2250</v>
      </c>
      <c r="D199" t="s">
        <v>2251</v>
      </c>
      <c r="E199" t="s">
        <v>1916</v>
      </c>
      <c r="G199" t="str">
        <f>"3073"</f>
        <v>3073</v>
      </c>
      <c r="H199" t="s">
        <v>761</v>
      </c>
      <c r="I199" t="s">
        <v>1893</v>
      </c>
      <c r="J199" t="s">
        <v>794</v>
      </c>
      <c r="L199" s="1">
        <v>42767</v>
      </c>
      <c r="M199">
        <v>800</v>
      </c>
      <c r="N199">
        <v>15</v>
      </c>
      <c r="O199">
        <v>1</v>
      </c>
      <c r="P199">
        <v>15</v>
      </c>
      <c r="Q199">
        <v>1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15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</row>
    <row r="200" spans="1:467" x14ac:dyDescent="0.4">
      <c r="A200" t="str">
        <f>"9784046820303"</f>
        <v>9784046820303</v>
      </c>
      <c r="B200" t="str">
        <f>"4046820306"</f>
        <v>4046820306</v>
      </c>
      <c r="C200" t="s">
        <v>2252</v>
      </c>
      <c r="D200" t="s">
        <v>2253</v>
      </c>
      <c r="E200" t="s">
        <v>597</v>
      </c>
      <c r="F200" t="s">
        <v>2254</v>
      </c>
      <c r="G200" t="str">
        <f>"9979"</f>
        <v>9979</v>
      </c>
      <c r="H200" t="s">
        <v>1855</v>
      </c>
      <c r="I200" t="s">
        <v>1856</v>
      </c>
      <c r="J200" t="s">
        <v>1856</v>
      </c>
      <c r="L200" s="1">
        <v>44917</v>
      </c>
      <c r="M200">
        <v>640</v>
      </c>
      <c r="N200">
        <v>15</v>
      </c>
      <c r="O200">
        <v>11</v>
      </c>
      <c r="P200">
        <v>15</v>
      </c>
      <c r="Q200">
        <v>11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1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1</v>
      </c>
      <c r="GN200">
        <v>1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1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3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2</v>
      </c>
      <c r="KC200">
        <v>0</v>
      </c>
      <c r="KD200">
        <v>0</v>
      </c>
      <c r="KE200">
        <v>0</v>
      </c>
      <c r="KF200">
        <v>1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1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2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</row>
    <row r="201" spans="1:467" x14ac:dyDescent="0.4">
      <c r="A201" t="str">
        <f>"9784088832616"</f>
        <v>9784088832616</v>
      </c>
      <c r="B201" t="str">
        <f>"4088832612"</f>
        <v>4088832612</v>
      </c>
      <c r="C201" t="s">
        <v>2255</v>
      </c>
      <c r="D201" t="s">
        <v>2256</v>
      </c>
      <c r="E201" t="s">
        <v>536</v>
      </c>
      <c r="F201" t="s">
        <v>1854</v>
      </c>
      <c r="G201" t="str">
        <f>"9979"</f>
        <v>9979</v>
      </c>
      <c r="H201" t="s">
        <v>1855</v>
      </c>
      <c r="I201" t="s">
        <v>1856</v>
      </c>
      <c r="J201" t="s">
        <v>1856</v>
      </c>
      <c r="L201" s="1">
        <v>44838</v>
      </c>
      <c r="M201">
        <v>440</v>
      </c>
      <c r="N201">
        <v>14</v>
      </c>
      <c r="O201">
        <v>13</v>
      </c>
      <c r="P201">
        <v>14</v>
      </c>
      <c r="Q201">
        <v>13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1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1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1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1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1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1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1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2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1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1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1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0</v>
      </c>
      <c r="QY201">
        <v>0</v>
      </c>
    </row>
    <row r="202" spans="1:467" hidden="1" x14ac:dyDescent="0.4">
      <c r="A202" t="str">
        <f>"9784873958064"</f>
        <v>9784873958064</v>
      </c>
      <c r="B202" t="str">
        <f>"4873958067"</f>
        <v>4873958067</v>
      </c>
      <c r="C202" t="s">
        <v>2257</v>
      </c>
      <c r="D202" t="s">
        <v>2258</v>
      </c>
      <c r="E202" t="s">
        <v>2259</v>
      </c>
      <c r="G202" t="str">
        <f>"0074"</f>
        <v>0074</v>
      </c>
      <c r="H202" t="s">
        <v>481</v>
      </c>
      <c r="I202" t="s">
        <v>1893</v>
      </c>
      <c r="J202" t="s">
        <v>1393</v>
      </c>
      <c r="L202" s="1">
        <v>44950</v>
      </c>
      <c r="M202">
        <v>1800</v>
      </c>
      <c r="N202">
        <v>14</v>
      </c>
      <c r="O202">
        <v>1</v>
      </c>
      <c r="P202">
        <v>14</v>
      </c>
      <c r="Q202">
        <v>1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14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0</v>
      </c>
      <c r="QU202">
        <v>0</v>
      </c>
      <c r="QV202">
        <v>0</v>
      </c>
      <c r="QW202">
        <v>0</v>
      </c>
      <c r="QX202">
        <v>0</v>
      </c>
      <c r="QY202">
        <v>0</v>
      </c>
    </row>
    <row r="203" spans="1:467" hidden="1" x14ac:dyDescent="0.4">
      <c r="A203" t="str">
        <f>"9784760154968"</f>
        <v>9784760154968</v>
      </c>
      <c r="B203" t="str">
        <f>"4760154965"</f>
        <v>4760154965</v>
      </c>
      <c r="C203" t="s">
        <v>2260</v>
      </c>
      <c r="D203" t="s">
        <v>2261</v>
      </c>
      <c r="E203" t="s">
        <v>2262</v>
      </c>
      <c r="G203" t="str">
        <f>"0095"</f>
        <v>0095</v>
      </c>
      <c r="H203" t="s">
        <v>481</v>
      </c>
      <c r="I203" t="s">
        <v>1893</v>
      </c>
      <c r="J203" t="s">
        <v>509</v>
      </c>
      <c r="L203" s="1">
        <v>44921</v>
      </c>
      <c r="M203">
        <v>1700</v>
      </c>
      <c r="N203">
        <v>14</v>
      </c>
      <c r="O203">
        <v>12</v>
      </c>
      <c r="P203">
        <v>14</v>
      </c>
      <c r="Q203">
        <v>12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1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1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1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1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2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1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1</v>
      </c>
      <c r="LW203">
        <v>1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1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1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2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</row>
    <row r="204" spans="1:467" hidden="1" x14ac:dyDescent="0.4">
      <c r="A204" t="str">
        <f>"9784791775002"</f>
        <v>9784791775002</v>
      </c>
      <c r="B204" t="str">
        <f>"4791775007"</f>
        <v>4791775007</v>
      </c>
      <c r="C204" t="s">
        <v>2263</v>
      </c>
      <c r="D204" t="s">
        <v>2264</v>
      </c>
      <c r="E204" t="s">
        <v>1883</v>
      </c>
      <c r="G204" t="str">
        <f>"0090"</f>
        <v>0090</v>
      </c>
      <c r="H204" t="s">
        <v>481</v>
      </c>
      <c r="I204" t="s">
        <v>1893</v>
      </c>
      <c r="J204" t="s">
        <v>1885</v>
      </c>
      <c r="L204" s="1">
        <v>44840</v>
      </c>
      <c r="M204">
        <v>3600</v>
      </c>
      <c r="N204">
        <v>14</v>
      </c>
      <c r="O204">
        <v>12</v>
      </c>
      <c r="P204">
        <v>14</v>
      </c>
      <c r="Q204">
        <v>12</v>
      </c>
      <c r="R204">
        <v>0</v>
      </c>
      <c r="S204">
        <v>1</v>
      </c>
      <c r="T204">
        <v>1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1</v>
      </c>
      <c r="CI204">
        <v>1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1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1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1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2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1</v>
      </c>
      <c r="MM204">
        <v>0</v>
      </c>
      <c r="MN204">
        <v>1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2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0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0</v>
      </c>
      <c r="QY204">
        <v>0</v>
      </c>
    </row>
    <row r="205" spans="1:467" x14ac:dyDescent="0.4">
      <c r="A205" t="str">
        <f>"9784088924335"</f>
        <v>9784088924335</v>
      </c>
      <c r="B205" t="str">
        <f>"4088924339"</f>
        <v>4088924339</v>
      </c>
      <c r="C205" t="s">
        <v>2265</v>
      </c>
      <c r="D205" t="s">
        <v>2266</v>
      </c>
      <c r="E205" t="s">
        <v>536</v>
      </c>
      <c r="F205" t="s">
        <v>1859</v>
      </c>
      <c r="G205" t="str">
        <f>"9979"</f>
        <v>9979</v>
      </c>
      <c r="H205" t="s">
        <v>1855</v>
      </c>
      <c r="I205" t="s">
        <v>1856</v>
      </c>
      <c r="J205" t="s">
        <v>1856</v>
      </c>
      <c r="L205" s="1">
        <v>44914</v>
      </c>
      <c r="M205">
        <v>650</v>
      </c>
      <c r="N205">
        <v>14</v>
      </c>
      <c r="O205">
        <v>12</v>
      </c>
      <c r="P205">
        <v>14</v>
      </c>
      <c r="Q205">
        <v>12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1</v>
      </c>
      <c r="BC205">
        <v>0</v>
      </c>
      <c r="BD205">
        <v>0</v>
      </c>
      <c r="BE205">
        <v>0</v>
      </c>
      <c r="BF205">
        <v>0</v>
      </c>
      <c r="BG205">
        <v>1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1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1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2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1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1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1</v>
      </c>
      <c r="JO205">
        <v>0</v>
      </c>
      <c r="JP205">
        <v>1</v>
      </c>
      <c r="JQ205">
        <v>2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</row>
    <row r="206" spans="1:467" hidden="1" x14ac:dyDescent="0.4">
      <c r="A206" t="str">
        <f>"9784582923049"</f>
        <v>9784582923049</v>
      </c>
      <c r="B206" t="str">
        <f>"4582923046"</f>
        <v>4582923046</v>
      </c>
      <c r="C206" t="s">
        <v>2267</v>
      </c>
      <c r="D206" t="s">
        <v>2268</v>
      </c>
      <c r="E206" t="s">
        <v>669</v>
      </c>
      <c r="F206" t="s">
        <v>2269</v>
      </c>
      <c r="G206" t="str">
        <f>"9471"</f>
        <v>9471</v>
      </c>
      <c r="H206" t="s">
        <v>1855</v>
      </c>
      <c r="I206" t="s">
        <v>1884</v>
      </c>
      <c r="J206" t="s">
        <v>1437</v>
      </c>
      <c r="L206" s="1">
        <v>44953</v>
      </c>
      <c r="M206">
        <v>2600</v>
      </c>
      <c r="N206">
        <v>14</v>
      </c>
      <c r="O206">
        <v>14</v>
      </c>
      <c r="P206">
        <v>14</v>
      </c>
      <c r="Q206">
        <v>14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1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1</v>
      </c>
      <c r="BT206">
        <v>1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1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1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1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1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1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1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1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1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1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1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</row>
    <row r="207" spans="1:467" hidden="1" x14ac:dyDescent="0.4">
      <c r="A207" t="str">
        <f>"9784480832115"</f>
        <v>9784480832115</v>
      </c>
      <c r="B207" t="str">
        <f>"4480832114"</f>
        <v>4480832114</v>
      </c>
      <c r="C207" t="s">
        <v>2270</v>
      </c>
      <c r="D207" t="s">
        <v>2271</v>
      </c>
      <c r="E207" t="s">
        <v>501</v>
      </c>
      <c r="G207" t="str">
        <f>"0097"</f>
        <v>0097</v>
      </c>
      <c r="H207" t="s">
        <v>481</v>
      </c>
      <c r="I207" t="s">
        <v>1893</v>
      </c>
      <c r="J207" t="s">
        <v>564</v>
      </c>
      <c r="L207" s="1">
        <v>43444</v>
      </c>
      <c r="M207">
        <v>1500</v>
      </c>
      <c r="N207">
        <v>14</v>
      </c>
      <c r="O207">
        <v>13</v>
      </c>
      <c r="P207">
        <v>14</v>
      </c>
      <c r="Q207">
        <v>13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2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1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1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1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1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1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1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1</v>
      </c>
      <c r="IW207">
        <v>0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1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1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1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1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</row>
    <row r="208" spans="1:467" hidden="1" x14ac:dyDescent="0.4">
      <c r="A208" t="str">
        <f>"9784791775231"</f>
        <v>9784791775231</v>
      </c>
      <c r="B208" t="str">
        <f>"4791775236"</f>
        <v>4791775236</v>
      </c>
      <c r="C208" t="s">
        <v>2272</v>
      </c>
      <c r="D208" t="s">
        <v>2273</v>
      </c>
      <c r="E208" t="s">
        <v>1883</v>
      </c>
      <c r="G208" t="str">
        <f>"0095"</f>
        <v>0095</v>
      </c>
      <c r="H208" t="s">
        <v>481</v>
      </c>
      <c r="I208" t="s">
        <v>1893</v>
      </c>
      <c r="J208" t="s">
        <v>509</v>
      </c>
      <c r="L208" s="1">
        <v>44921</v>
      </c>
      <c r="M208">
        <v>3600</v>
      </c>
      <c r="N208">
        <v>14</v>
      </c>
      <c r="O208">
        <v>10</v>
      </c>
      <c r="P208">
        <v>14</v>
      </c>
      <c r="Q208">
        <v>10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1</v>
      </c>
      <c r="CI208">
        <v>1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2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1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2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2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2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1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1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0</v>
      </c>
      <c r="QV208">
        <v>0</v>
      </c>
      <c r="QW208">
        <v>1</v>
      </c>
      <c r="QX208">
        <v>0</v>
      </c>
      <c r="QY208">
        <v>0</v>
      </c>
    </row>
    <row r="209" spans="1:467" hidden="1" x14ac:dyDescent="0.4">
      <c r="A209" t="str">
        <f>"9784591175354"</f>
        <v>9784591175354</v>
      </c>
      <c r="B209" t="str">
        <f>"4591175359"</f>
        <v>4591175359</v>
      </c>
      <c r="C209" t="s">
        <v>2274</v>
      </c>
      <c r="D209" t="s">
        <v>2275</v>
      </c>
      <c r="E209" t="s">
        <v>572</v>
      </c>
      <c r="G209" t="str">
        <f>"0093"</f>
        <v>0093</v>
      </c>
      <c r="H209" t="s">
        <v>481</v>
      </c>
      <c r="I209" t="s">
        <v>1893</v>
      </c>
      <c r="J209" t="s">
        <v>488</v>
      </c>
      <c r="L209" s="1">
        <v>44874</v>
      </c>
      <c r="M209">
        <v>1600</v>
      </c>
      <c r="N209">
        <v>14</v>
      </c>
      <c r="O209">
        <v>12</v>
      </c>
      <c r="P209">
        <v>14</v>
      </c>
      <c r="Q209">
        <v>12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3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1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1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1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1</v>
      </c>
      <c r="MM209">
        <v>0</v>
      </c>
      <c r="MN209">
        <v>1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1</v>
      </c>
      <c r="ND209">
        <v>0</v>
      </c>
      <c r="NE209">
        <v>1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1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1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1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</row>
    <row r="210" spans="1:467" x14ac:dyDescent="0.4">
      <c r="A210" t="str">
        <f>"9784098515318"</f>
        <v>9784098515318</v>
      </c>
      <c r="B210" t="str">
        <f>"4098515318"</f>
        <v>4098515318</v>
      </c>
      <c r="C210" t="s">
        <v>2276</v>
      </c>
      <c r="D210" t="s">
        <v>2277</v>
      </c>
      <c r="E210" t="s">
        <v>1069</v>
      </c>
      <c r="F210" t="s">
        <v>1881</v>
      </c>
      <c r="G210" t="str">
        <f>"9979"</f>
        <v>9979</v>
      </c>
      <c r="H210" t="s">
        <v>1855</v>
      </c>
      <c r="I210" t="s">
        <v>1856</v>
      </c>
      <c r="J210" t="s">
        <v>1856</v>
      </c>
      <c r="L210" s="1">
        <v>44944</v>
      </c>
      <c r="M210">
        <v>500</v>
      </c>
      <c r="N210">
        <v>14</v>
      </c>
      <c r="O210">
        <v>13</v>
      </c>
      <c r="P210">
        <v>14</v>
      </c>
      <c r="Q210">
        <v>13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  <c r="AJ210">
        <v>0</v>
      </c>
      <c r="AK210">
        <v>1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2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1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1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1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1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1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1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1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1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1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</row>
    <row r="211" spans="1:467" hidden="1" x14ac:dyDescent="0.4">
      <c r="A211" t="str">
        <f>"9784469269444"</f>
        <v>9784469269444</v>
      </c>
      <c r="B211" t="str">
        <f>"4469269441"</f>
        <v>4469269441</v>
      </c>
      <c r="C211" t="s">
        <v>2278</v>
      </c>
      <c r="D211" t="s">
        <v>2279</v>
      </c>
      <c r="E211" t="s">
        <v>1977</v>
      </c>
      <c r="G211" t="str">
        <f>"3075"</f>
        <v>3075</v>
      </c>
      <c r="H211" t="s">
        <v>761</v>
      </c>
      <c r="I211" t="s">
        <v>1893</v>
      </c>
      <c r="J211" t="s">
        <v>1635</v>
      </c>
      <c r="L211" s="1">
        <v>44901</v>
      </c>
      <c r="M211">
        <v>2800</v>
      </c>
      <c r="N211">
        <v>13</v>
      </c>
      <c r="O211">
        <v>11</v>
      </c>
      <c r="P211">
        <v>13</v>
      </c>
      <c r="Q211">
        <v>11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1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2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1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1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1</v>
      </c>
      <c r="LT211">
        <v>0</v>
      </c>
      <c r="LU211">
        <v>0</v>
      </c>
      <c r="LV211">
        <v>1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2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1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1</v>
      </c>
      <c r="OY211">
        <v>0</v>
      </c>
      <c r="OZ211">
        <v>1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</row>
    <row r="212" spans="1:467" hidden="1" x14ac:dyDescent="0.4">
      <c r="A212" t="str">
        <f>"9784779515354"</f>
        <v>9784779515354</v>
      </c>
      <c r="B212" t="str">
        <f>"4779515351"</f>
        <v>4779515351</v>
      </c>
      <c r="C212" t="s">
        <v>2280</v>
      </c>
      <c r="D212" t="s">
        <v>2281</v>
      </c>
      <c r="E212" t="s">
        <v>2282</v>
      </c>
      <c r="G212" t="str">
        <f>"0026"</f>
        <v>0026</v>
      </c>
      <c r="H212" t="s">
        <v>481</v>
      </c>
      <c r="I212" t="s">
        <v>1893</v>
      </c>
      <c r="J212" t="s">
        <v>2110</v>
      </c>
      <c r="L212" s="1">
        <v>44307</v>
      </c>
      <c r="M212">
        <v>2200</v>
      </c>
      <c r="N212">
        <v>13</v>
      </c>
      <c r="O212">
        <v>1</v>
      </c>
      <c r="P212">
        <v>13</v>
      </c>
      <c r="Q212">
        <v>1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13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0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</row>
    <row r="213" spans="1:467" hidden="1" x14ac:dyDescent="0.4">
      <c r="A213" t="str">
        <f>"9784163915982"</f>
        <v>9784163915982</v>
      </c>
      <c r="B213" t="str">
        <f>"4163915982"</f>
        <v>4163915982</v>
      </c>
      <c r="C213" t="s">
        <v>2283</v>
      </c>
      <c r="D213" t="s">
        <v>2284</v>
      </c>
      <c r="E213" t="s">
        <v>639</v>
      </c>
      <c r="G213" t="str">
        <f>"0093"</f>
        <v>0093</v>
      </c>
      <c r="H213" t="s">
        <v>481</v>
      </c>
      <c r="I213" t="s">
        <v>1893</v>
      </c>
      <c r="J213" t="s">
        <v>488</v>
      </c>
      <c r="L213" s="1">
        <v>44826</v>
      </c>
      <c r="M213">
        <v>1600</v>
      </c>
      <c r="N213">
        <v>13</v>
      </c>
      <c r="O213">
        <v>13</v>
      </c>
      <c r="P213">
        <v>13</v>
      </c>
      <c r="Q213">
        <v>13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1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1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1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1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1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1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1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1</v>
      </c>
      <c r="ND213">
        <v>0</v>
      </c>
      <c r="NE213">
        <v>1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1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1</v>
      </c>
      <c r="PC213">
        <v>0</v>
      </c>
      <c r="PD213">
        <v>0</v>
      </c>
      <c r="PE213">
        <v>0</v>
      </c>
      <c r="PF213">
        <v>1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1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0</v>
      </c>
      <c r="QY213">
        <v>0</v>
      </c>
    </row>
    <row r="214" spans="1:467" x14ac:dyDescent="0.4">
      <c r="A214" t="str">
        <f>"9784065188545"</f>
        <v>9784065188545</v>
      </c>
      <c r="B214" t="str">
        <f>"4065188547"</f>
        <v>4065188547</v>
      </c>
      <c r="C214" t="s">
        <v>2285</v>
      </c>
      <c r="D214" t="s">
        <v>1902</v>
      </c>
      <c r="E214" t="s">
        <v>548</v>
      </c>
      <c r="F214" t="s">
        <v>1862</v>
      </c>
      <c r="G214" t="str">
        <f>"9979"</f>
        <v>9979</v>
      </c>
      <c r="H214" t="s">
        <v>1855</v>
      </c>
      <c r="I214" t="s">
        <v>1856</v>
      </c>
      <c r="J214" t="s">
        <v>1856</v>
      </c>
      <c r="L214" s="1">
        <v>43966</v>
      </c>
      <c r="M214">
        <v>480</v>
      </c>
      <c r="N214">
        <v>13</v>
      </c>
      <c r="O214">
        <v>13</v>
      </c>
      <c r="P214">
        <v>13</v>
      </c>
      <c r="Q214">
        <v>13</v>
      </c>
      <c r="R214">
        <v>0</v>
      </c>
      <c r="S214">
        <v>0</v>
      </c>
      <c r="T214">
        <v>1</v>
      </c>
      <c r="U214">
        <v>0</v>
      </c>
      <c r="V214">
        <v>0</v>
      </c>
      <c r="W214">
        <v>1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1</v>
      </c>
      <c r="BC214">
        <v>0</v>
      </c>
      <c r="BD214">
        <v>0</v>
      </c>
      <c r="BE214">
        <v>0</v>
      </c>
      <c r="BF214">
        <v>0</v>
      </c>
      <c r="BG214">
        <v>1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1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1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1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1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1</v>
      </c>
      <c r="KC214">
        <v>0</v>
      </c>
      <c r="KD214">
        <v>0</v>
      </c>
      <c r="KE214">
        <v>0</v>
      </c>
      <c r="KF214">
        <v>1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1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</row>
    <row r="215" spans="1:467" hidden="1" x14ac:dyDescent="0.4">
      <c r="A215" t="str">
        <f>"9784296201341"</f>
        <v>9784296201341</v>
      </c>
      <c r="B215" t="str">
        <f>"4296201344"</f>
        <v>4296201344</v>
      </c>
      <c r="C215" t="s">
        <v>2286</v>
      </c>
      <c r="E215" t="s">
        <v>956</v>
      </c>
      <c r="F215" t="s">
        <v>2287</v>
      </c>
      <c r="G215" t="str">
        <f>"9476"</f>
        <v>9476</v>
      </c>
      <c r="H215" t="s">
        <v>1855</v>
      </c>
      <c r="I215" t="s">
        <v>1884</v>
      </c>
      <c r="J215" t="s">
        <v>552</v>
      </c>
      <c r="L215" s="1">
        <v>44922</v>
      </c>
      <c r="M215">
        <v>2500</v>
      </c>
      <c r="N215">
        <v>13</v>
      </c>
      <c r="O215">
        <v>11</v>
      </c>
      <c r="P215">
        <v>13</v>
      </c>
      <c r="Q215">
        <v>11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1</v>
      </c>
      <c r="BF215">
        <v>0</v>
      </c>
      <c r="BG215">
        <v>1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1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2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2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1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1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1</v>
      </c>
      <c r="JX215">
        <v>0</v>
      </c>
      <c r="JY215">
        <v>0</v>
      </c>
      <c r="JZ215">
        <v>0</v>
      </c>
      <c r="KA215">
        <v>0</v>
      </c>
      <c r="KB215">
        <v>1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1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</row>
    <row r="216" spans="1:467" x14ac:dyDescent="0.4">
      <c r="A216" t="str">
        <f>"9784088821207"</f>
        <v>9784088821207</v>
      </c>
      <c r="B216" t="str">
        <f>"4088821203"</f>
        <v>4088821203</v>
      </c>
      <c r="C216" t="s">
        <v>2288</v>
      </c>
      <c r="D216" t="s">
        <v>2006</v>
      </c>
      <c r="E216" t="s">
        <v>536</v>
      </c>
      <c r="F216" t="s">
        <v>1935</v>
      </c>
      <c r="G216" t="str">
        <f>"9979"</f>
        <v>9979</v>
      </c>
      <c r="H216" t="s">
        <v>1855</v>
      </c>
      <c r="I216" t="s">
        <v>1856</v>
      </c>
      <c r="J216" t="s">
        <v>1856</v>
      </c>
      <c r="L216" s="1">
        <v>43742</v>
      </c>
      <c r="M216">
        <v>480</v>
      </c>
      <c r="N216">
        <v>13</v>
      </c>
      <c r="O216">
        <v>8</v>
      </c>
      <c r="P216">
        <v>13</v>
      </c>
      <c r="Q216">
        <v>8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1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1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1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1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1</v>
      </c>
      <c r="FP216">
        <v>0</v>
      </c>
      <c r="FQ216">
        <v>0</v>
      </c>
      <c r="FR216">
        <v>0</v>
      </c>
      <c r="FS216">
        <v>0</v>
      </c>
      <c r="FT216">
        <v>6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1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</row>
    <row r="217" spans="1:467" hidden="1" x14ac:dyDescent="0.4">
      <c r="A217" t="str">
        <f>"9784058019399"</f>
        <v>9784058019399</v>
      </c>
      <c r="B217" t="str">
        <f>"4058019395"</f>
        <v>4058019395</v>
      </c>
      <c r="C217" t="s">
        <v>2289</v>
      </c>
      <c r="D217" t="s">
        <v>2198</v>
      </c>
      <c r="E217" t="s">
        <v>2199</v>
      </c>
      <c r="G217" t="str">
        <f>"0326"</f>
        <v>0326</v>
      </c>
      <c r="H217" t="s">
        <v>481</v>
      </c>
      <c r="I217" t="s">
        <v>1877</v>
      </c>
      <c r="J217" t="s">
        <v>2110</v>
      </c>
      <c r="L217" s="1">
        <v>44917</v>
      </c>
      <c r="M217">
        <v>1900</v>
      </c>
      <c r="N217">
        <v>13</v>
      </c>
      <c r="O217">
        <v>13</v>
      </c>
      <c r="P217">
        <v>13</v>
      </c>
      <c r="Q217">
        <v>13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1</v>
      </c>
      <c r="CI217">
        <v>1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1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1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1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1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1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1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1</v>
      </c>
      <c r="JN217">
        <v>0</v>
      </c>
      <c r="JO217">
        <v>0</v>
      </c>
      <c r="JP217">
        <v>0</v>
      </c>
      <c r="JQ217">
        <v>1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1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1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1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</row>
    <row r="218" spans="1:467" x14ac:dyDescent="0.4">
      <c r="A218" t="str">
        <f>"9784065272886"</f>
        <v>9784065272886</v>
      </c>
      <c r="B218" t="str">
        <f>"4065272882"</f>
        <v>4065272882</v>
      </c>
      <c r="C218" t="s">
        <v>2290</v>
      </c>
      <c r="D218" t="s">
        <v>1902</v>
      </c>
      <c r="E218" t="s">
        <v>548</v>
      </c>
      <c r="F218" t="s">
        <v>1862</v>
      </c>
      <c r="G218" t="str">
        <f>"9979"</f>
        <v>9979</v>
      </c>
      <c r="H218" t="s">
        <v>1855</v>
      </c>
      <c r="I218" t="s">
        <v>1856</v>
      </c>
      <c r="J218" t="s">
        <v>1856</v>
      </c>
      <c r="L218" s="1">
        <v>44637</v>
      </c>
      <c r="M218">
        <v>480</v>
      </c>
      <c r="N218">
        <v>13</v>
      </c>
      <c r="O218">
        <v>12</v>
      </c>
      <c r="P218">
        <v>13</v>
      </c>
      <c r="Q218">
        <v>12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1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1</v>
      </c>
      <c r="BC218">
        <v>0</v>
      </c>
      <c r="BD218">
        <v>0</v>
      </c>
      <c r="BE218">
        <v>0</v>
      </c>
      <c r="BF218">
        <v>0</v>
      </c>
      <c r="BG218">
        <v>1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1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1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1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1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0</v>
      </c>
      <c r="KD218">
        <v>0</v>
      </c>
      <c r="KE218">
        <v>0</v>
      </c>
      <c r="KF218">
        <v>1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1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</row>
    <row r="219" spans="1:467" hidden="1" x14ac:dyDescent="0.4">
      <c r="A219" t="str">
        <f>"9784434245930"</f>
        <v>9784434245930</v>
      </c>
      <c r="B219" t="str">
        <f>"4434245937"</f>
        <v>4434245937</v>
      </c>
      <c r="C219" t="s">
        <v>2291</v>
      </c>
      <c r="D219" t="s">
        <v>2292</v>
      </c>
      <c r="E219" t="s">
        <v>2293</v>
      </c>
      <c r="G219" t="str">
        <f>"0077"</f>
        <v>0077</v>
      </c>
      <c r="H219" t="s">
        <v>481</v>
      </c>
      <c r="I219" t="s">
        <v>1893</v>
      </c>
      <c r="J219" t="s">
        <v>1006</v>
      </c>
      <c r="L219" s="1">
        <v>43191</v>
      </c>
      <c r="M219">
        <v>1200</v>
      </c>
      <c r="N219">
        <v>13</v>
      </c>
      <c r="O219">
        <v>1</v>
      </c>
      <c r="P219">
        <v>13</v>
      </c>
      <c r="Q219">
        <v>1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13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</row>
    <row r="220" spans="1:467" hidden="1" x14ac:dyDescent="0.4">
      <c r="A220" t="str">
        <f>"9784779647611"</f>
        <v>9784779647611</v>
      </c>
      <c r="B220" t="str">
        <f>"4779647614"</f>
        <v>4779647614</v>
      </c>
      <c r="C220" t="s">
        <v>2294</v>
      </c>
      <c r="E220" t="s">
        <v>2295</v>
      </c>
      <c r="F220" t="s">
        <v>2296</v>
      </c>
      <c r="G220" t="str">
        <f>"9476"</f>
        <v>9476</v>
      </c>
      <c r="H220" t="s">
        <v>1855</v>
      </c>
      <c r="I220" t="s">
        <v>1884</v>
      </c>
      <c r="J220" t="s">
        <v>552</v>
      </c>
      <c r="L220" s="1">
        <v>44940</v>
      </c>
      <c r="M220">
        <v>1600</v>
      </c>
      <c r="N220">
        <v>13</v>
      </c>
      <c r="O220">
        <v>8</v>
      </c>
      <c r="P220">
        <v>13</v>
      </c>
      <c r="Q220">
        <v>8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1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4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1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1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3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1</v>
      </c>
      <c r="PP220">
        <v>1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</row>
    <row r="221" spans="1:467" hidden="1" x14ac:dyDescent="0.4">
      <c r="A221" t="str">
        <f>"9784087718133"</f>
        <v>9784087718133</v>
      </c>
      <c r="B221" t="str">
        <f>"4087718131"</f>
        <v>4087718131</v>
      </c>
      <c r="C221" t="s">
        <v>2297</v>
      </c>
      <c r="D221" t="s">
        <v>1063</v>
      </c>
      <c r="E221" t="s">
        <v>536</v>
      </c>
      <c r="G221" t="str">
        <f>"0093"</f>
        <v>0093</v>
      </c>
      <c r="H221" t="s">
        <v>481</v>
      </c>
      <c r="I221" t="s">
        <v>1893</v>
      </c>
      <c r="J221" t="s">
        <v>488</v>
      </c>
      <c r="L221" s="1">
        <v>44867</v>
      </c>
      <c r="M221">
        <v>1650</v>
      </c>
      <c r="N221">
        <v>13</v>
      </c>
      <c r="O221">
        <v>13</v>
      </c>
      <c r="P221">
        <v>13</v>
      </c>
      <c r="Q221">
        <v>13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1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1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1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1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1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1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1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1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1</v>
      </c>
      <c r="OR221">
        <v>0</v>
      </c>
      <c r="OS221">
        <v>1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1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</row>
    <row r="222" spans="1:467" hidden="1" x14ac:dyDescent="0.4">
      <c r="A222" t="str">
        <f>"9784163916545"</f>
        <v>9784163916545</v>
      </c>
      <c r="B222" t="str">
        <f>"4163916547"</f>
        <v>4163916547</v>
      </c>
      <c r="C222" t="s">
        <v>2298</v>
      </c>
      <c r="D222" t="s">
        <v>2299</v>
      </c>
      <c r="E222" t="s">
        <v>639</v>
      </c>
      <c r="G222" t="str">
        <f>"0093"</f>
        <v>0093</v>
      </c>
      <c r="H222" t="s">
        <v>481</v>
      </c>
      <c r="I222" t="s">
        <v>1893</v>
      </c>
      <c r="J222" t="s">
        <v>488</v>
      </c>
      <c r="L222" s="1">
        <v>44940</v>
      </c>
      <c r="M222">
        <v>1600</v>
      </c>
      <c r="N222">
        <v>13</v>
      </c>
      <c r="O222">
        <v>12</v>
      </c>
      <c r="P222">
        <v>13</v>
      </c>
      <c r="Q222">
        <v>12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2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1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1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1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1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1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1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1</v>
      </c>
      <c r="PC222">
        <v>0</v>
      </c>
      <c r="PD222">
        <v>0</v>
      </c>
      <c r="PE222">
        <v>0</v>
      </c>
      <c r="PF222">
        <v>1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1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</row>
    <row r="223" spans="1:467" x14ac:dyDescent="0.4">
      <c r="A223" t="str">
        <f>"9784592106340"</f>
        <v>9784592106340</v>
      </c>
      <c r="B223" t="str">
        <f>"4592106342"</f>
        <v>4592106342</v>
      </c>
      <c r="C223" t="s">
        <v>1895</v>
      </c>
      <c r="D223" t="s">
        <v>1896</v>
      </c>
      <c r="E223" t="s">
        <v>1897</v>
      </c>
      <c r="F223" t="s">
        <v>2300</v>
      </c>
      <c r="G223" t="str">
        <f>"0979"</f>
        <v>0979</v>
      </c>
      <c r="H223" t="s">
        <v>481</v>
      </c>
      <c r="I223" t="s">
        <v>1856</v>
      </c>
      <c r="J223" t="s">
        <v>1856</v>
      </c>
      <c r="L223" s="1">
        <v>44896</v>
      </c>
      <c r="M223">
        <v>950</v>
      </c>
      <c r="N223">
        <v>13</v>
      </c>
      <c r="O223">
        <v>9</v>
      </c>
      <c r="P223">
        <v>13</v>
      </c>
      <c r="Q223">
        <v>9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2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1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2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2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1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1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2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1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1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</row>
    <row r="224" spans="1:467" x14ac:dyDescent="0.4">
      <c r="A224" t="str">
        <f>"9784253282864"</f>
        <v>9784253282864</v>
      </c>
      <c r="B224" t="str">
        <f>"4253282865"</f>
        <v>4253282865</v>
      </c>
      <c r="C224" t="s">
        <v>2301</v>
      </c>
      <c r="D224" t="s">
        <v>2302</v>
      </c>
      <c r="E224" t="s">
        <v>2303</v>
      </c>
      <c r="F224" t="s">
        <v>2304</v>
      </c>
      <c r="G224" t="str">
        <f>"9979"</f>
        <v>9979</v>
      </c>
      <c r="H224" t="s">
        <v>1855</v>
      </c>
      <c r="I224" t="s">
        <v>1856</v>
      </c>
      <c r="J224" t="s">
        <v>1856</v>
      </c>
      <c r="L224" s="1">
        <v>44932</v>
      </c>
      <c r="M224">
        <v>540</v>
      </c>
      <c r="N224">
        <v>13</v>
      </c>
      <c r="O224">
        <v>12</v>
      </c>
      <c r="P224">
        <v>13</v>
      </c>
      <c r="Q224">
        <v>12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0</v>
      </c>
      <c r="BD224">
        <v>0</v>
      </c>
      <c r="BE224">
        <v>0</v>
      </c>
      <c r="BF224">
        <v>0</v>
      </c>
      <c r="BG224">
        <v>1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1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1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1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1</v>
      </c>
      <c r="FZ224">
        <v>1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2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1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1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1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</row>
    <row r="225" spans="1:467" x14ac:dyDescent="0.4">
      <c r="A225" t="str">
        <f>"9784065297322"</f>
        <v>9784065297322</v>
      </c>
      <c r="B225" t="str">
        <f>"406529732X"</f>
        <v>406529732X</v>
      </c>
      <c r="C225" t="s">
        <v>2305</v>
      </c>
      <c r="D225" t="s">
        <v>2306</v>
      </c>
      <c r="E225" t="s">
        <v>548</v>
      </c>
      <c r="F225" t="s">
        <v>1947</v>
      </c>
      <c r="G225" t="str">
        <f>"9979"</f>
        <v>9979</v>
      </c>
      <c r="H225" t="s">
        <v>1855</v>
      </c>
      <c r="I225" t="s">
        <v>1856</v>
      </c>
      <c r="J225" t="s">
        <v>1856</v>
      </c>
      <c r="L225" s="1">
        <v>44887</v>
      </c>
      <c r="M225">
        <v>710</v>
      </c>
      <c r="N225">
        <v>13</v>
      </c>
      <c r="O225">
        <v>12</v>
      </c>
      <c r="P225">
        <v>13</v>
      </c>
      <c r="Q225">
        <v>12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1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1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1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1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1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1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2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1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1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1</v>
      </c>
      <c r="QR225">
        <v>0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</row>
    <row r="226" spans="1:467" x14ac:dyDescent="0.4">
      <c r="A226" t="str">
        <f>"9784065163368"</f>
        <v>9784065163368</v>
      </c>
      <c r="B226" t="str">
        <f>"4065163366"</f>
        <v>4065163366</v>
      </c>
      <c r="C226" t="s">
        <v>2307</v>
      </c>
      <c r="D226" t="s">
        <v>1902</v>
      </c>
      <c r="E226" t="s">
        <v>548</v>
      </c>
      <c r="F226" t="s">
        <v>1862</v>
      </c>
      <c r="G226" t="str">
        <f>"9979"</f>
        <v>9979</v>
      </c>
      <c r="H226" t="s">
        <v>1855</v>
      </c>
      <c r="I226" t="s">
        <v>1856</v>
      </c>
      <c r="J226" t="s">
        <v>1856</v>
      </c>
      <c r="L226" s="1">
        <v>43693</v>
      </c>
      <c r="M226">
        <v>480</v>
      </c>
      <c r="N226">
        <v>13</v>
      </c>
      <c r="O226">
        <v>10</v>
      </c>
      <c r="P226">
        <v>13</v>
      </c>
      <c r="Q226">
        <v>10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1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2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1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1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1</v>
      </c>
      <c r="FP226">
        <v>0</v>
      </c>
      <c r="FQ226">
        <v>0</v>
      </c>
      <c r="FR226">
        <v>0</v>
      </c>
      <c r="FS226">
        <v>0</v>
      </c>
      <c r="FT226">
        <v>2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1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1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2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1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</row>
    <row r="227" spans="1:467" hidden="1" x14ac:dyDescent="0.4">
      <c r="A227" t="str">
        <f>"9784814400164"</f>
        <v>9784814400164</v>
      </c>
      <c r="B227" t="str">
        <f>"4814400160"</f>
        <v>4814400160</v>
      </c>
      <c r="C227" t="s">
        <v>2308</v>
      </c>
      <c r="D227" t="s">
        <v>2309</v>
      </c>
      <c r="E227" t="s">
        <v>2310</v>
      </c>
      <c r="G227" t="str">
        <f>"0076"</f>
        <v>0076</v>
      </c>
      <c r="H227" t="s">
        <v>481</v>
      </c>
      <c r="I227" t="s">
        <v>1893</v>
      </c>
      <c r="J227" t="s">
        <v>552</v>
      </c>
      <c r="L227" s="1">
        <v>44922</v>
      </c>
      <c r="M227">
        <v>2400</v>
      </c>
      <c r="N227">
        <v>13</v>
      </c>
      <c r="O227">
        <v>12</v>
      </c>
      <c r="P227">
        <v>13</v>
      </c>
      <c r="Q227">
        <v>12</v>
      </c>
      <c r="R227">
        <v>0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1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1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1</v>
      </c>
      <c r="DC227">
        <v>0</v>
      </c>
      <c r="DD227">
        <v>0</v>
      </c>
      <c r="DE227">
        <v>1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1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1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1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1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1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2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1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</row>
    <row r="228" spans="1:467" hidden="1" x14ac:dyDescent="0.4">
      <c r="A228" t="str">
        <f>"9784533152016"</f>
        <v>9784533152016</v>
      </c>
      <c r="B228" t="str">
        <f>"4533152015"</f>
        <v>4533152015</v>
      </c>
      <c r="C228" t="s">
        <v>2311</v>
      </c>
      <c r="E228" t="s">
        <v>2312</v>
      </c>
      <c r="F228" t="s">
        <v>2313</v>
      </c>
      <c r="G228" t="str">
        <f>"9426"</f>
        <v>9426</v>
      </c>
      <c r="H228" t="s">
        <v>1855</v>
      </c>
      <c r="I228" t="s">
        <v>1884</v>
      </c>
      <c r="J228" t="s">
        <v>2110</v>
      </c>
      <c r="L228" s="1">
        <v>44902</v>
      </c>
      <c r="M228">
        <v>980</v>
      </c>
      <c r="N228">
        <v>13</v>
      </c>
      <c r="O228">
        <v>12</v>
      </c>
      <c r="P228">
        <v>13</v>
      </c>
      <c r="Q228">
        <v>12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1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1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1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2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1</v>
      </c>
      <c r="JR228">
        <v>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1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1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1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1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1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1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</row>
    <row r="229" spans="1:467" hidden="1" x14ac:dyDescent="0.4">
      <c r="A229" t="str">
        <f>"9784058019382"</f>
        <v>9784058019382</v>
      </c>
      <c r="B229" t="str">
        <f>"4058019387"</f>
        <v>4058019387</v>
      </c>
      <c r="C229" t="s">
        <v>2314</v>
      </c>
      <c r="D229" t="s">
        <v>2198</v>
      </c>
      <c r="E229" t="s">
        <v>2199</v>
      </c>
      <c r="G229" t="str">
        <f>"0326"</f>
        <v>0326</v>
      </c>
      <c r="H229" t="s">
        <v>481</v>
      </c>
      <c r="I229" t="s">
        <v>1877</v>
      </c>
      <c r="J229" t="s">
        <v>2110</v>
      </c>
      <c r="L229" s="1">
        <v>44903</v>
      </c>
      <c r="M229">
        <v>1700</v>
      </c>
      <c r="N229">
        <v>13</v>
      </c>
      <c r="O229">
        <v>12</v>
      </c>
      <c r="P229">
        <v>13</v>
      </c>
      <c r="Q229">
        <v>12</v>
      </c>
      <c r="R229">
        <v>0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1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1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1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1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2</v>
      </c>
      <c r="JN229">
        <v>0</v>
      </c>
      <c r="JO229">
        <v>0</v>
      </c>
      <c r="JP229">
        <v>0</v>
      </c>
      <c r="JQ229">
        <v>1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1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1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1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1</v>
      </c>
      <c r="PL229">
        <v>0</v>
      </c>
      <c r="PM229">
        <v>1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</row>
    <row r="230" spans="1:467" x14ac:dyDescent="0.4">
      <c r="A230" t="str">
        <f>"9784065299371"</f>
        <v>9784065299371</v>
      </c>
      <c r="B230" t="str">
        <f>"4065299373"</f>
        <v>4065299373</v>
      </c>
      <c r="C230" t="s">
        <v>2315</v>
      </c>
      <c r="D230" t="s">
        <v>2316</v>
      </c>
      <c r="E230" t="s">
        <v>548</v>
      </c>
      <c r="F230" t="s">
        <v>1862</v>
      </c>
      <c r="G230" t="str">
        <f>"9979"</f>
        <v>9979</v>
      </c>
      <c r="H230" t="s">
        <v>1855</v>
      </c>
      <c r="I230" t="s">
        <v>1856</v>
      </c>
      <c r="J230" t="s">
        <v>1856</v>
      </c>
      <c r="L230" s="1">
        <v>44911</v>
      </c>
      <c r="M230">
        <v>480</v>
      </c>
      <c r="N230">
        <v>12</v>
      </c>
      <c r="O230">
        <v>10</v>
      </c>
      <c r="P230">
        <v>12</v>
      </c>
      <c r="Q230">
        <v>10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1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1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1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1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1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1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1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1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1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3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</row>
    <row r="231" spans="1:467" hidden="1" x14ac:dyDescent="0.4">
      <c r="A231" t="str">
        <f>"9784862117601"</f>
        <v>9784862117601</v>
      </c>
      <c r="B231" t="str">
        <f>"4862117600"</f>
        <v>4862117600</v>
      </c>
      <c r="G231" t="str">
        <f>""</f>
        <v/>
      </c>
      <c r="L231" s="1">
        <v>44216</v>
      </c>
      <c r="M231">
        <v>0</v>
      </c>
      <c r="N231">
        <v>12</v>
      </c>
      <c r="O231">
        <v>1</v>
      </c>
      <c r="P231">
        <v>12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12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</row>
    <row r="232" spans="1:467" hidden="1" x14ac:dyDescent="0.4">
      <c r="A232" t="str">
        <f>"9784255013015"</f>
        <v>9784255013015</v>
      </c>
      <c r="B232" t="str">
        <f>"4255013012"</f>
        <v>4255013012</v>
      </c>
      <c r="C232" t="s">
        <v>2317</v>
      </c>
      <c r="D232" t="s">
        <v>2318</v>
      </c>
      <c r="E232" t="s">
        <v>2319</v>
      </c>
      <c r="G232" t="str">
        <f>"0095"</f>
        <v>0095</v>
      </c>
      <c r="H232" t="s">
        <v>481</v>
      </c>
      <c r="I232" t="s">
        <v>1893</v>
      </c>
      <c r="J232" t="s">
        <v>509</v>
      </c>
      <c r="L232" s="1">
        <v>44749</v>
      </c>
      <c r="M232">
        <v>1620</v>
      </c>
      <c r="N232">
        <v>12</v>
      </c>
      <c r="O232">
        <v>8</v>
      </c>
      <c r="P232">
        <v>12</v>
      </c>
      <c r="Q232">
        <v>8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4</v>
      </c>
      <c r="CI232">
        <v>1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1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2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1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1</v>
      </c>
      <c r="OC232">
        <v>0</v>
      </c>
      <c r="OD232">
        <v>0</v>
      </c>
      <c r="OE232">
        <v>0</v>
      </c>
      <c r="OF232">
        <v>0</v>
      </c>
      <c r="OG232">
        <v>1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1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</row>
    <row r="233" spans="1:467" x14ac:dyDescent="0.4">
      <c r="A233" t="str">
        <f>"9784088925875"</f>
        <v>9784088925875</v>
      </c>
      <c r="B233" t="str">
        <f>"4088925874"</f>
        <v>4088925874</v>
      </c>
      <c r="C233" t="s">
        <v>2320</v>
      </c>
      <c r="D233" t="s">
        <v>2321</v>
      </c>
      <c r="E233" t="s">
        <v>536</v>
      </c>
      <c r="F233" t="s">
        <v>2322</v>
      </c>
      <c r="G233" t="str">
        <f>"9979"</f>
        <v>9979</v>
      </c>
      <c r="H233" t="s">
        <v>1855</v>
      </c>
      <c r="I233" t="s">
        <v>1856</v>
      </c>
      <c r="J233" t="s">
        <v>1856</v>
      </c>
      <c r="L233" s="1">
        <v>44945</v>
      </c>
      <c r="M233">
        <v>650</v>
      </c>
      <c r="N233">
        <v>12</v>
      </c>
      <c r="O233">
        <v>8</v>
      </c>
      <c r="P233">
        <v>12</v>
      </c>
      <c r="Q233">
        <v>8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1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2</v>
      </c>
      <c r="BH233">
        <v>3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1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1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1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1</v>
      </c>
      <c r="HU233">
        <v>0</v>
      </c>
      <c r="HV233">
        <v>2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</row>
    <row r="234" spans="1:467" hidden="1" x14ac:dyDescent="0.4">
      <c r="A234" t="str">
        <f>"9784299037633"</f>
        <v>9784299037633</v>
      </c>
      <c r="B234" t="str">
        <f>"4299037634"</f>
        <v>4299037634</v>
      </c>
      <c r="C234" t="s">
        <v>2323</v>
      </c>
      <c r="D234" t="s">
        <v>2324</v>
      </c>
      <c r="E234" t="s">
        <v>1848</v>
      </c>
      <c r="G234" t="str">
        <f>"0093"</f>
        <v>0093</v>
      </c>
      <c r="H234" t="s">
        <v>481</v>
      </c>
      <c r="I234" t="s">
        <v>1893</v>
      </c>
      <c r="J234" t="s">
        <v>488</v>
      </c>
      <c r="L234" s="1">
        <v>44932</v>
      </c>
      <c r="M234">
        <v>1400</v>
      </c>
      <c r="N234">
        <v>12</v>
      </c>
      <c r="O234">
        <v>8</v>
      </c>
      <c r="P234">
        <v>12</v>
      </c>
      <c r="Q234">
        <v>8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2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3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2</v>
      </c>
      <c r="JN234">
        <v>0</v>
      </c>
      <c r="JO234">
        <v>0</v>
      </c>
      <c r="JP234">
        <v>0</v>
      </c>
      <c r="JQ234">
        <v>1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1</v>
      </c>
      <c r="LW234">
        <v>0</v>
      </c>
      <c r="LX234">
        <v>1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1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1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</row>
    <row r="235" spans="1:467" x14ac:dyDescent="0.4">
      <c r="A235" t="str">
        <f>"9784832274334"</f>
        <v>9784832274334</v>
      </c>
      <c r="B235" t="str">
        <f>"4832274333"</f>
        <v>4832274333</v>
      </c>
      <c r="C235" t="s">
        <v>2325</v>
      </c>
      <c r="D235" t="s">
        <v>2326</v>
      </c>
      <c r="E235" t="s">
        <v>2144</v>
      </c>
      <c r="F235" t="s">
        <v>2327</v>
      </c>
      <c r="G235" t="str">
        <f>"9979"</f>
        <v>9979</v>
      </c>
      <c r="H235" t="s">
        <v>1855</v>
      </c>
      <c r="I235" t="s">
        <v>1856</v>
      </c>
      <c r="J235" t="s">
        <v>1856</v>
      </c>
      <c r="L235" s="1">
        <v>44952</v>
      </c>
      <c r="M235">
        <v>880</v>
      </c>
      <c r="N235">
        <v>12</v>
      </c>
      <c r="O235">
        <v>10</v>
      </c>
      <c r="P235">
        <v>12</v>
      </c>
      <c r="Q235">
        <v>10</v>
      </c>
      <c r="R235">
        <v>0</v>
      </c>
      <c r="S235">
        <v>0</v>
      </c>
      <c r="T235">
        <v>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1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1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1</v>
      </c>
      <c r="CI235">
        <v>2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1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2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1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1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1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</row>
    <row r="236" spans="1:467" x14ac:dyDescent="0.4">
      <c r="A236" t="str">
        <f>"9784088827360"</f>
        <v>9784088827360</v>
      </c>
      <c r="B236" t="str">
        <f>"4088827368"</f>
        <v>4088827368</v>
      </c>
      <c r="C236" t="s">
        <v>2328</v>
      </c>
      <c r="D236" t="s">
        <v>1869</v>
      </c>
      <c r="E236" t="s">
        <v>536</v>
      </c>
      <c r="F236" t="s">
        <v>1854</v>
      </c>
      <c r="G236" t="str">
        <f>"9979"</f>
        <v>9979</v>
      </c>
      <c r="H236" t="s">
        <v>1855</v>
      </c>
      <c r="I236" t="s">
        <v>1856</v>
      </c>
      <c r="J236" t="s">
        <v>1856</v>
      </c>
      <c r="L236" s="1">
        <v>44473</v>
      </c>
      <c r="M236">
        <v>440</v>
      </c>
      <c r="N236">
        <v>12</v>
      </c>
      <c r="O236">
        <v>10</v>
      </c>
      <c r="P236">
        <v>12</v>
      </c>
      <c r="Q236">
        <v>10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1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2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1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1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1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1</v>
      </c>
      <c r="JN236">
        <v>1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2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1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1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</row>
    <row r="237" spans="1:467" hidden="1" x14ac:dyDescent="0.4">
      <c r="A237" t="str">
        <f>"9784305709783"</f>
        <v>9784305709783</v>
      </c>
      <c r="B237" t="str">
        <f>"4305709783"</f>
        <v>4305709783</v>
      </c>
      <c r="C237" t="s">
        <v>2329</v>
      </c>
      <c r="D237" t="s">
        <v>2330</v>
      </c>
      <c r="E237" t="s">
        <v>2331</v>
      </c>
      <c r="G237" t="str">
        <f>"0095"</f>
        <v>0095</v>
      </c>
      <c r="H237" t="s">
        <v>481</v>
      </c>
      <c r="I237" t="s">
        <v>1893</v>
      </c>
      <c r="J237" t="s">
        <v>509</v>
      </c>
      <c r="L237" s="1">
        <v>44921</v>
      </c>
      <c r="M237">
        <v>1900</v>
      </c>
      <c r="N237">
        <v>12</v>
      </c>
      <c r="O237">
        <v>12</v>
      </c>
      <c r="P237">
        <v>12</v>
      </c>
      <c r="Q237">
        <v>12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1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1</v>
      </c>
      <c r="DC237">
        <v>1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1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1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1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1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1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1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1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1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</row>
    <row r="238" spans="1:467" x14ac:dyDescent="0.4">
      <c r="A238" t="str">
        <f>"9784832274198"</f>
        <v>9784832274198</v>
      </c>
      <c r="B238" t="str">
        <f>"4832274198"</f>
        <v>4832274198</v>
      </c>
      <c r="C238" t="s">
        <v>2332</v>
      </c>
      <c r="D238" t="s">
        <v>2143</v>
      </c>
      <c r="E238" t="s">
        <v>2144</v>
      </c>
      <c r="F238" t="s">
        <v>2333</v>
      </c>
      <c r="G238" t="str">
        <f>"9979"</f>
        <v>9979</v>
      </c>
      <c r="H238" t="s">
        <v>1855</v>
      </c>
      <c r="I238" t="s">
        <v>1856</v>
      </c>
      <c r="J238" t="s">
        <v>1856</v>
      </c>
      <c r="L238" s="1">
        <v>44891</v>
      </c>
      <c r="M238">
        <v>880</v>
      </c>
      <c r="N238">
        <v>12</v>
      </c>
      <c r="O238">
        <v>5</v>
      </c>
      <c r="P238">
        <v>12</v>
      </c>
      <c r="Q238">
        <v>5</v>
      </c>
      <c r="R238">
        <v>0</v>
      </c>
      <c r="S238">
        <v>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5</v>
      </c>
      <c r="CI238">
        <v>3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2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1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</row>
    <row r="239" spans="1:467" hidden="1" x14ac:dyDescent="0.4">
      <c r="A239" t="str">
        <f>"9784309030562"</f>
        <v>9784309030562</v>
      </c>
      <c r="B239" t="str">
        <f>"4309030564"</f>
        <v>4309030564</v>
      </c>
      <c r="C239" t="s">
        <v>2334</v>
      </c>
      <c r="D239" t="s">
        <v>2335</v>
      </c>
      <c r="E239" t="s">
        <v>1143</v>
      </c>
      <c r="G239" t="str">
        <f>"0093"</f>
        <v>0093</v>
      </c>
      <c r="H239" t="s">
        <v>481</v>
      </c>
      <c r="I239" t="s">
        <v>1893</v>
      </c>
      <c r="J239" t="s">
        <v>488</v>
      </c>
      <c r="L239" s="1">
        <v>44764</v>
      </c>
      <c r="M239">
        <v>1800</v>
      </c>
      <c r="N239">
        <v>12</v>
      </c>
      <c r="O239">
        <v>10</v>
      </c>
      <c r="P239">
        <v>12</v>
      </c>
      <c r="Q239">
        <v>10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1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1</v>
      </c>
      <c r="CJ239">
        <v>0</v>
      </c>
      <c r="CK239">
        <v>1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1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1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1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3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1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1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</row>
    <row r="240" spans="1:467" hidden="1" x14ac:dyDescent="0.4">
      <c r="A240" t="str">
        <f>"9784422701448"</f>
        <v>9784422701448</v>
      </c>
      <c r="B240" t="str">
        <f>"4422701444"</f>
        <v>4422701444</v>
      </c>
      <c r="C240" t="s">
        <v>2336</v>
      </c>
      <c r="D240" t="s">
        <v>2337</v>
      </c>
      <c r="E240" t="s">
        <v>635</v>
      </c>
      <c r="G240" t="str">
        <f>"0071"</f>
        <v>0071</v>
      </c>
      <c r="H240" t="s">
        <v>481</v>
      </c>
      <c r="I240" t="s">
        <v>1893</v>
      </c>
      <c r="J240" t="s">
        <v>1437</v>
      </c>
      <c r="L240" s="1">
        <v>44903</v>
      </c>
      <c r="M240">
        <v>3200</v>
      </c>
      <c r="N240">
        <v>12</v>
      </c>
      <c r="O240">
        <v>11</v>
      </c>
      <c r="P240">
        <v>12</v>
      </c>
      <c r="Q240">
        <v>11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1</v>
      </c>
      <c r="CR240">
        <v>0</v>
      </c>
      <c r="CS240">
        <v>1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1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2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1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1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1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1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1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1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</row>
    <row r="241" spans="1:467" hidden="1" x14ac:dyDescent="0.4">
      <c r="A241" t="str">
        <f>"9784801005600"</f>
        <v>9784801005600</v>
      </c>
      <c r="B241" t="str">
        <f>"4801005608"</f>
        <v>4801005608</v>
      </c>
      <c r="C241" t="s">
        <v>2338</v>
      </c>
      <c r="D241" t="s">
        <v>2339</v>
      </c>
      <c r="E241" t="s">
        <v>2340</v>
      </c>
      <c r="F241" t="s">
        <v>2341</v>
      </c>
      <c r="G241" t="str">
        <f>"0098"</f>
        <v>0098</v>
      </c>
      <c r="H241" t="s">
        <v>481</v>
      </c>
      <c r="I241" t="s">
        <v>1893</v>
      </c>
      <c r="J241" t="s">
        <v>1894</v>
      </c>
      <c r="L241" s="1">
        <v>44922</v>
      </c>
      <c r="M241">
        <v>4000</v>
      </c>
      <c r="N241">
        <v>12</v>
      </c>
      <c r="O241">
        <v>8</v>
      </c>
      <c r="P241">
        <v>12</v>
      </c>
      <c r="Q241">
        <v>8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1</v>
      </c>
      <c r="CD241">
        <v>0</v>
      </c>
      <c r="CE241">
        <v>0</v>
      </c>
      <c r="CF241">
        <v>0</v>
      </c>
      <c r="CG241">
        <v>0</v>
      </c>
      <c r="CH241">
        <v>1</v>
      </c>
      <c r="CI241">
        <v>1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5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1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1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1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1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</row>
    <row r="242" spans="1:467" hidden="1" x14ac:dyDescent="0.4">
      <c r="A242" t="str">
        <f>"9784490210750"</f>
        <v>9784490210750</v>
      </c>
      <c r="B242" t="str">
        <f>"4490210752"</f>
        <v>4490210752</v>
      </c>
      <c r="C242" t="s">
        <v>2342</v>
      </c>
      <c r="D242" t="s">
        <v>2343</v>
      </c>
      <c r="E242" t="s">
        <v>2344</v>
      </c>
      <c r="G242" t="str">
        <f>"1077"</f>
        <v>1077</v>
      </c>
      <c r="H242" t="s">
        <v>541</v>
      </c>
      <c r="I242" t="s">
        <v>1893</v>
      </c>
      <c r="J242" t="s">
        <v>1006</v>
      </c>
      <c r="L242" s="1">
        <v>44908</v>
      </c>
      <c r="M242">
        <v>5400</v>
      </c>
      <c r="N242">
        <v>12</v>
      </c>
      <c r="O242">
        <v>12</v>
      </c>
      <c r="P242">
        <v>12</v>
      </c>
      <c r="Q242">
        <v>12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1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1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1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1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1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1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1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1</v>
      </c>
      <c r="KR242">
        <v>0</v>
      </c>
      <c r="KS242">
        <v>0</v>
      </c>
      <c r="KT242">
        <v>0</v>
      </c>
      <c r="KU242">
        <v>0</v>
      </c>
      <c r="KV242">
        <v>1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1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1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</row>
    <row r="243" spans="1:467" x14ac:dyDescent="0.4">
      <c r="A243" t="str">
        <f>"9784757583269"</f>
        <v>9784757583269</v>
      </c>
      <c r="B243" t="str">
        <f>"4757583265"</f>
        <v>4757583265</v>
      </c>
      <c r="C243" t="s">
        <v>2345</v>
      </c>
      <c r="D243" t="s">
        <v>2346</v>
      </c>
      <c r="E243" t="s">
        <v>2047</v>
      </c>
      <c r="F243" t="s">
        <v>2347</v>
      </c>
      <c r="G243" t="str">
        <f>"9979"</f>
        <v>9979</v>
      </c>
      <c r="H243" t="s">
        <v>1855</v>
      </c>
      <c r="I243" t="s">
        <v>1856</v>
      </c>
      <c r="J243" t="s">
        <v>1856</v>
      </c>
      <c r="L243" s="1">
        <v>44922</v>
      </c>
      <c r="M243">
        <v>700</v>
      </c>
      <c r="N243">
        <v>12</v>
      </c>
      <c r="O243">
        <v>8</v>
      </c>
      <c r="P243">
        <v>12</v>
      </c>
      <c r="Q243">
        <v>8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3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1</v>
      </c>
      <c r="FP243">
        <v>0</v>
      </c>
      <c r="FQ243">
        <v>1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1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3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1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</row>
    <row r="244" spans="1:467" x14ac:dyDescent="0.4">
      <c r="A244" t="str">
        <f>"9784088831909"</f>
        <v>9784088831909</v>
      </c>
      <c r="B244" t="str">
        <f>"408883190X"</f>
        <v>408883190X</v>
      </c>
      <c r="C244" t="s">
        <v>2348</v>
      </c>
      <c r="D244" t="s">
        <v>1973</v>
      </c>
      <c r="E244" t="s">
        <v>536</v>
      </c>
      <c r="F244" t="s">
        <v>1854</v>
      </c>
      <c r="G244" t="str">
        <f>"9979"</f>
        <v>9979</v>
      </c>
      <c r="H244" t="s">
        <v>1855</v>
      </c>
      <c r="I244" t="s">
        <v>1856</v>
      </c>
      <c r="J244" t="s">
        <v>1856</v>
      </c>
      <c r="L244" s="1">
        <v>44775</v>
      </c>
      <c r="M244">
        <v>440</v>
      </c>
      <c r="N244">
        <v>12</v>
      </c>
      <c r="O244">
        <v>10</v>
      </c>
      <c r="P244">
        <v>12</v>
      </c>
      <c r="Q244">
        <v>10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</v>
      </c>
      <c r="AL244">
        <v>1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1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1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1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1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2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1</v>
      </c>
      <c r="JQ244">
        <v>2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</row>
    <row r="245" spans="1:467" hidden="1" x14ac:dyDescent="0.4">
      <c r="A245" t="str">
        <f>"9784103548614"</f>
        <v>9784103548614</v>
      </c>
      <c r="B245" t="str">
        <f>"4103548614"</f>
        <v>4103548614</v>
      </c>
      <c r="C245" t="s">
        <v>2349</v>
      </c>
      <c r="D245" t="s">
        <v>2350</v>
      </c>
      <c r="E245" t="s">
        <v>516</v>
      </c>
      <c r="G245" t="str">
        <f>"0095"</f>
        <v>0095</v>
      </c>
      <c r="H245" t="s">
        <v>481</v>
      </c>
      <c r="I245" t="s">
        <v>1893</v>
      </c>
      <c r="J245" t="s">
        <v>509</v>
      </c>
      <c r="L245" s="1">
        <v>44915</v>
      </c>
      <c r="M245">
        <v>1800</v>
      </c>
      <c r="N245">
        <v>12</v>
      </c>
      <c r="O245">
        <v>11</v>
      </c>
      <c r="P245">
        <v>12</v>
      </c>
      <c r="Q245">
        <v>11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0</v>
      </c>
      <c r="AE245">
        <v>1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1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1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1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1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1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2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1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1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1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</row>
    <row r="246" spans="1:467" hidden="1" x14ac:dyDescent="0.4">
      <c r="A246" t="str">
        <f>"9784065245392"</f>
        <v>9784065245392</v>
      </c>
      <c r="B246" t="str">
        <f>"4065245397"</f>
        <v>4065245397</v>
      </c>
      <c r="C246" t="s">
        <v>2351</v>
      </c>
      <c r="D246" t="s">
        <v>2352</v>
      </c>
      <c r="E246" t="s">
        <v>548</v>
      </c>
      <c r="G246" t="str">
        <f>"0095"</f>
        <v>0095</v>
      </c>
      <c r="H246" t="s">
        <v>481</v>
      </c>
      <c r="I246" t="s">
        <v>1893</v>
      </c>
      <c r="J246" t="s">
        <v>509</v>
      </c>
      <c r="K246" t="s">
        <v>2243</v>
      </c>
      <c r="L246" s="1">
        <v>44439</v>
      </c>
      <c r="M246">
        <v>1500</v>
      </c>
      <c r="N246">
        <v>12</v>
      </c>
      <c r="O246">
        <v>11</v>
      </c>
      <c r="P246">
        <v>12</v>
      </c>
      <c r="Q246">
        <v>11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1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1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1</v>
      </c>
      <c r="JG246">
        <v>2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1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1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1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1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1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1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</row>
    <row r="247" spans="1:467" hidden="1" x14ac:dyDescent="0.4">
      <c r="A247" t="str">
        <f>"9784473045003"</f>
        <v>9784473045003</v>
      </c>
      <c r="B247" t="str">
        <f>"4473045005"</f>
        <v>4473045005</v>
      </c>
      <c r="C247" t="s">
        <v>2353</v>
      </c>
      <c r="E247" t="s">
        <v>2354</v>
      </c>
      <c r="G247" t="str">
        <f>"2076"</f>
        <v>2076</v>
      </c>
      <c r="H247" t="s">
        <v>1991</v>
      </c>
      <c r="I247" t="s">
        <v>1893</v>
      </c>
      <c r="J247" t="s">
        <v>552</v>
      </c>
      <c r="L247" s="1">
        <v>44854</v>
      </c>
      <c r="M247">
        <v>900</v>
      </c>
      <c r="N247">
        <v>12</v>
      </c>
      <c r="O247">
        <v>1</v>
      </c>
      <c r="P247">
        <v>12</v>
      </c>
      <c r="Q247">
        <v>1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12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</row>
    <row r="248" spans="1:467" x14ac:dyDescent="0.4">
      <c r="A248" t="str">
        <f>"9784107725622"</f>
        <v>9784107725622</v>
      </c>
      <c r="B248" t="str">
        <f>"4107725626"</f>
        <v>4107725626</v>
      </c>
      <c r="C248" t="s">
        <v>2355</v>
      </c>
      <c r="D248" t="s">
        <v>2356</v>
      </c>
      <c r="E248" t="s">
        <v>516</v>
      </c>
      <c r="F248" t="s">
        <v>2357</v>
      </c>
      <c r="G248" t="str">
        <f>"9979"</f>
        <v>9979</v>
      </c>
      <c r="H248" t="s">
        <v>1855</v>
      </c>
      <c r="I248" t="s">
        <v>1856</v>
      </c>
      <c r="J248" t="s">
        <v>1856</v>
      </c>
      <c r="L248" s="1">
        <v>44933</v>
      </c>
      <c r="M248">
        <v>620</v>
      </c>
      <c r="N248">
        <v>11</v>
      </c>
      <c r="O248">
        <v>9</v>
      </c>
      <c r="P248">
        <v>11</v>
      </c>
      <c r="Q248">
        <v>9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2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1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1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1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1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1</v>
      </c>
      <c r="HW248">
        <v>0</v>
      </c>
      <c r="HX248">
        <v>0</v>
      </c>
      <c r="HY248">
        <v>1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2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1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</row>
    <row r="249" spans="1:467" x14ac:dyDescent="0.4">
      <c r="A249" t="str">
        <f>"9784065301708"</f>
        <v>9784065301708</v>
      </c>
      <c r="B249" t="str">
        <f>"406530170X"</f>
        <v>406530170X</v>
      </c>
      <c r="C249" t="s">
        <v>2358</v>
      </c>
      <c r="D249" t="s">
        <v>2359</v>
      </c>
      <c r="E249" t="s">
        <v>548</v>
      </c>
      <c r="F249" t="s">
        <v>1947</v>
      </c>
      <c r="G249" t="str">
        <f>"9979"</f>
        <v>9979</v>
      </c>
      <c r="H249" t="s">
        <v>1855</v>
      </c>
      <c r="I249" t="s">
        <v>1856</v>
      </c>
      <c r="J249" t="s">
        <v>1856</v>
      </c>
      <c r="L249" s="1">
        <v>44949</v>
      </c>
      <c r="M249">
        <v>680</v>
      </c>
      <c r="N249">
        <v>11</v>
      </c>
      <c r="O249">
        <v>10</v>
      </c>
      <c r="P249">
        <v>11</v>
      </c>
      <c r="Q249">
        <v>10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2</v>
      </c>
      <c r="BC249">
        <v>0</v>
      </c>
      <c r="BD249">
        <v>0</v>
      </c>
      <c r="BE249">
        <v>1</v>
      </c>
      <c r="BF249">
        <v>0</v>
      </c>
      <c r="BG249">
        <v>1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1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1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1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1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1</v>
      </c>
      <c r="KC249">
        <v>0</v>
      </c>
      <c r="KD249">
        <v>0</v>
      </c>
      <c r="KE249">
        <v>0</v>
      </c>
      <c r="KF249">
        <v>1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</row>
    <row r="250" spans="1:467" x14ac:dyDescent="0.4">
      <c r="A250" t="str">
        <f>"9784087925333"</f>
        <v>9784087925333</v>
      </c>
      <c r="B250" t="str">
        <f>"4087925331"</f>
        <v>4087925331</v>
      </c>
      <c r="C250" t="s">
        <v>2360</v>
      </c>
      <c r="D250" t="s">
        <v>1909</v>
      </c>
      <c r="E250" t="s">
        <v>536</v>
      </c>
      <c r="F250" t="s">
        <v>1910</v>
      </c>
      <c r="G250" t="str">
        <f>"0979"</f>
        <v>0979</v>
      </c>
      <c r="H250" t="s">
        <v>481</v>
      </c>
      <c r="I250" t="s">
        <v>1856</v>
      </c>
      <c r="J250" t="s">
        <v>1856</v>
      </c>
      <c r="L250" s="1">
        <v>43256</v>
      </c>
      <c r="M250">
        <v>600</v>
      </c>
      <c r="N250">
        <v>11</v>
      </c>
      <c r="O250">
        <v>8</v>
      </c>
      <c r="P250">
        <v>11</v>
      </c>
      <c r="Q250">
        <v>8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1</v>
      </c>
      <c r="HW250">
        <v>2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2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1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2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1</v>
      </c>
      <c r="MM250">
        <v>0</v>
      </c>
      <c r="MN250">
        <v>1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1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</row>
    <row r="251" spans="1:467" x14ac:dyDescent="0.4">
      <c r="A251" t="str">
        <f>"9784253218474"</f>
        <v>9784253218474</v>
      </c>
      <c r="B251" t="str">
        <f>"4253218474"</f>
        <v>4253218474</v>
      </c>
      <c r="C251" t="s">
        <v>2361</v>
      </c>
      <c r="D251" t="s">
        <v>2362</v>
      </c>
      <c r="E251" t="s">
        <v>2303</v>
      </c>
      <c r="F251" t="s">
        <v>2363</v>
      </c>
      <c r="G251" t="str">
        <f>"9979"</f>
        <v>9979</v>
      </c>
      <c r="H251" t="s">
        <v>1855</v>
      </c>
      <c r="I251" t="s">
        <v>1856</v>
      </c>
      <c r="J251" t="s">
        <v>1856</v>
      </c>
      <c r="L251" s="1">
        <v>44932</v>
      </c>
      <c r="M251">
        <v>480</v>
      </c>
      <c r="N251">
        <v>11</v>
      </c>
      <c r="O251">
        <v>10</v>
      </c>
      <c r="P251">
        <v>11</v>
      </c>
      <c r="Q251">
        <v>10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2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1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1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1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1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1</v>
      </c>
      <c r="LS251">
        <v>0</v>
      </c>
      <c r="LT251">
        <v>0</v>
      </c>
      <c r="LU251">
        <v>0</v>
      </c>
      <c r="LV251">
        <v>0</v>
      </c>
      <c r="LW251">
        <v>1</v>
      </c>
      <c r="LX251">
        <v>1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1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1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</row>
    <row r="252" spans="1:467" x14ac:dyDescent="0.4">
      <c r="A252" t="str">
        <f>"9784065302514"</f>
        <v>9784065302514</v>
      </c>
      <c r="B252" t="str">
        <f>"406530251X"</f>
        <v>406530251X</v>
      </c>
      <c r="C252" t="s">
        <v>2364</v>
      </c>
      <c r="D252" t="s">
        <v>2365</v>
      </c>
      <c r="E252" t="s">
        <v>548</v>
      </c>
      <c r="F252" t="s">
        <v>2034</v>
      </c>
      <c r="G252" t="str">
        <f>"9979"</f>
        <v>9979</v>
      </c>
      <c r="H252" t="s">
        <v>1855</v>
      </c>
      <c r="I252" t="s">
        <v>1856</v>
      </c>
      <c r="J252" t="s">
        <v>1856</v>
      </c>
      <c r="L252" s="1">
        <v>44943</v>
      </c>
      <c r="M252">
        <v>700</v>
      </c>
      <c r="N252">
        <v>11</v>
      </c>
      <c r="O252">
        <v>8</v>
      </c>
      <c r="P252">
        <v>11</v>
      </c>
      <c r="Q252">
        <v>8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3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1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1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1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1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2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</row>
    <row r="253" spans="1:467" x14ac:dyDescent="0.4">
      <c r="A253" t="str">
        <f>"9784088828220"</f>
        <v>9784088828220</v>
      </c>
      <c r="B253" t="str">
        <f>"4088828224"</f>
        <v>4088828224</v>
      </c>
      <c r="C253" t="s">
        <v>2366</v>
      </c>
      <c r="D253" t="s">
        <v>1853</v>
      </c>
      <c r="E253" t="s">
        <v>536</v>
      </c>
      <c r="F253" t="s">
        <v>1935</v>
      </c>
      <c r="G253" t="str">
        <f>"9979"</f>
        <v>9979</v>
      </c>
      <c r="H253" t="s">
        <v>1855</v>
      </c>
      <c r="I253" t="s">
        <v>1856</v>
      </c>
      <c r="J253" t="s">
        <v>1856</v>
      </c>
      <c r="L253" s="1">
        <v>44504</v>
      </c>
      <c r="M253">
        <v>440</v>
      </c>
      <c r="N253">
        <v>11</v>
      </c>
      <c r="O253">
        <v>9</v>
      </c>
      <c r="P253">
        <v>11</v>
      </c>
      <c r="Q253">
        <v>9</v>
      </c>
      <c r="R253">
        <v>0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1</v>
      </c>
      <c r="CI253">
        <v>1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1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2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2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1</v>
      </c>
      <c r="NA253">
        <v>0</v>
      </c>
      <c r="NB253">
        <v>0</v>
      </c>
      <c r="NC253">
        <v>0</v>
      </c>
      <c r="ND253">
        <v>0</v>
      </c>
      <c r="NE253">
        <v>1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</row>
    <row r="254" spans="1:467" x14ac:dyDescent="0.4">
      <c r="A254" t="str">
        <f>"9784087925319"</f>
        <v>9784087925319</v>
      </c>
      <c r="B254" t="str">
        <f>"4087925315"</f>
        <v>4087925315</v>
      </c>
      <c r="C254" t="s">
        <v>2367</v>
      </c>
      <c r="D254" t="s">
        <v>1909</v>
      </c>
      <c r="E254" t="s">
        <v>536</v>
      </c>
      <c r="F254" t="s">
        <v>1910</v>
      </c>
      <c r="G254" t="str">
        <f>"0979"</f>
        <v>0979</v>
      </c>
      <c r="H254" t="s">
        <v>481</v>
      </c>
      <c r="I254" t="s">
        <v>1856</v>
      </c>
      <c r="J254" t="s">
        <v>1856</v>
      </c>
      <c r="L254" s="1">
        <v>43256</v>
      </c>
      <c r="M254">
        <v>600</v>
      </c>
      <c r="N254">
        <v>11</v>
      </c>
      <c r="O254">
        <v>9</v>
      </c>
      <c r="P254">
        <v>11</v>
      </c>
      <c r="Q254">
        <v>9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1</v>
      </c>
      <c r="HW254">
        <v>2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2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1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1</v>
      </c>
      <c r="MM254">
        <v>0</v>
      </c>
      <c r="MN254">
        <v>1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1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1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</row>
    <row r="255" spans="1:467" hidden="1" x14ac:dyDescent="0.4">
      <c r="A255" t="str">
        <f>"9784861829536"</f>
        <v>9784861829536</v>
      </c>
      <c r="B255" t="str">
        <f>"4861829534"</f>
        <v>4861829534</v>
      </c>
      <c r="C255" t="s">
        <v>2368</v>
      </c>
      <c r="D255" t="s">
        <v>1074</v>
      </c>
      <c r="E255" t="s">
        <v>2369</v>
      </c>
      <c r="G255" t="str">
        <f>"0095"</f>
        <v>0095</v>
      </c>
      <c r="H255" t="s">
        <v>481</v>
      </c>
      <c r="I255" t="s">
        <v>1893</v>
      </c>
      <c r="J255" t="s">
        <v>509</v>
      </c>
      <c r="L255" s="1">
        <v>44921</v>
      </c>
      <c r="M255">
        <v>4200</v>
      </c>
      <c r="N255">
        <v>11</v>
      </c>
      <c r="O255">
        <v>10</v>
      </c>
      <c r="P255">
        <v>11</v>
      </c>
      <c r="Q255">
        <v>10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1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1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1</v>
      </c>
      <c r="CR255">
        <v>0</v>
      </c>
      <c r="CS255">
        <v>1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1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1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1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1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1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2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</row>
    <row r="256" spans="1:467" x14ac:dyDescent="0.4">
      <c r="A256" t="str">
        <f>"9784088821689"</f>
        <v>9784088821689</v>
      </c>
      <c r="B256" t="str">
        <f>"4088821688"</f>
        <v>4088821688</v>
      </c>
      <c r="C256" t="s">
        <v>2370</v>
      </c>
      <c r="D256" t="s">
        <v>1869</v>
      </c>
      <c r="E256" t="s">
        <v>536</v>
      </c>
      <c r="F256" t="s">
        <v>1854</v>
      </c>
      <c r="G256" t="str">
        <f>"9979"</f>
        <v>9979</v>
      </c>
      <c r="H256" t="s">
        <v>1855</v>
      </c>
      <c r="I256" t="s">
        <v>1856</v>
      </c>
      <c r="J256" t="s">
        <v>1856</v>
      </c>
      <c r="L256" s="1">
        <v>43834</v>
      </c>
      <c r="M256">
        <v>440</v>
      </c>
      <c r="N256">
        <v>11</v>
      </c>
      <c r="O256">
        <v>10</v>
      </c>
      <c r="P256">
        <v>11</v>
      </c>
      <c r="Q256">
        <v>10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1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1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1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1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1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2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1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1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1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</row>
    <row r="257" spans="1:467" hidden="1" x14ac:dyDescent="0.4">
      <c r="A257" t="str">
        <f>"9784797674132"</f>
        <v>9784797674132</v>
      </c>
      <c r="B257" t="str">
        <f>"479767413X"</f>
        <v>479767413X</v>
      </c>
      <c r="C257" t="s">
        <v>2371</v>
      </c>
      <c r="D257" t="s">
        <v>2372</v>
      </c>
      <c r="E257" t="s">
        <v>1150</v>
      </c>
      <c r="G257" t="str">
        <f>"0095"</f>
        <v>0095</v>
      </c>
      <c r="H257" t="s">
        <v>481</v>
      </c>
      <c r="I257" t="s">
        <v>1893</v>
      </c>
      <c r="J257" t="s">
        <v>509</v>
      </c>
      <c r="L257" s="1">
        <v>44747</v>
      </c>
      <c r="M257">
        <v>2200</v>
      </c>
      <c r="N257">
        <v>11</v>
      </c>
      <c r="O257">
        <v>10</v>
      </c>
      <c r="P257">
        <v>11</v>
      </c>
      <c r="Q257">
        <v>10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2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1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1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1</v>
      </c>
      <c r="KK257">
        <v>1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1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1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1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1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1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</row>
    <row r="258" spans="1:467" x14ac:dyDescent="0.4">
      <c r="A258" t="str">
        <f>"9784065296110"</f>
        <v>9784065296110</v>
      </c>
      <c r="B258" t="str">
        <f>"4065296110"</f>
        <v>4065296110</v>
      </c>
      <c r="C258" t="s">
        <v>2373</v>
      </c>
      <c r="D258" t="s">
        <v>1861</v>
      </c>
      <c r="E258" t="s">
        <v>548</v>
      </c>
      <c r="F258" t="s">
        <v>2099</v>
      </c>
      <c r="G258" t="str">
        <f>"9979"</f>
        <v>9979</v>
      </c>
      <c r="H258" t="s">
        <v>1855</v>
      </c>
      <c r="I258" t="s">
        <v>1856</v>
      </c>
      <c r="J258" t="s">
        <v>1856</v>
      </c>
      <c r="L258" s="1">
        <v>44943</v>
      </c>
      <c r="M258">
        <v>880</v>
      </c>
      <c r="N258">
        <v>11</v>
      </c>
      <c r="O258">
        <v>7</v>
      </c>
      <c r="P258">
        <v>11</v>
      </c>
      <c r="Q258">
        <v>7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1</v>
      </c>
      <c r="EU258">
        <v>0</v>
      </c>
      <c r="EV258">
        <v>1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2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2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3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1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1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</row>
    <row r="259" spans="1:467" hidden="1" x14ac:dyDescent="0.4">
      <c r="A259" t="str">
        <f>"9784093866644"</f>
        <v>9784093866644</v>
      </c>
      <c r="B259" t="str">
        <f>"4093866643"</f>
        <v>4093866643</v>
      </c>
      <c r="C259" t="s">
        <v>2374</v>
      </c>
      <c r="D259" t="s">
        <v>2375</v>
      </c>
      <c r="E259" t="s">
        <v>1069</v>
      </c>
      <c r="G259" t="str">
        <f>"0093"</f>
        <v>0093</v>
      </c>
      <c r="H259" t="s">
        <v>481</v>
      </c>
      <c r="I259" t="s">
        <v>1893</v>
      </c>
      <c r="J259" t="s">
        <v>488</v>
      </c>
      <c r="L259" s="1">
        <v>44889</v>
      </c>
      <c r="M259">
        <v>1600</v>
      </c>
      <c r="N259">
        <v>11</v>
      </c>
      <c r="O259">
        <v>11</v>
      </c>
      <c r="P259">
        <v>11</v>
      </c>
      <c r="Q259">
        <v>11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1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1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1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1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1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1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1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1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1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1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1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</row>
    <row r="260" spans="1:467" x14ac:dyDescent="0.4">
      <c r="A260" t="str">
        <f>"9784087925388"</f>
        <v>9784087925388</v>
      </c>
      <c r="B260" t="str">
        <f>"4087925382"</f>
        <v>4087925382</v>
      </c>
      <c r="C260" t="s">
        <v>2376</v>
      </c>
      <c r="D260" t="s">
        <v>1909</v>
      </c>
      <c r="E260" t="s">
        <v>536</v>
      </c>
      <c r="F260" t="s">
        <v>1910</v>
      </c>
      <c r="G260" t="str">
        <f>"0979"</f>
        <v>0979</v>
      </c>
      <c r="H260" t="s">
        <v>481</v>
      </c>
      <c r="I260" t="s">
        <v>1856</v>
      </c>
      <c r="J260" t="s">
        <v>1856</v>
      </c>
      <c r="L260" s="1">
        <v>43284</v>
      </c>
      <c r="M260">
        <v>650</v>
      </c>
      <c r="N260">
        <v>11</v>
      </c>
      <c r="O260">
        <v>9</v>
      </c>
      <c r="P260">
        <v>11</v>
      </c>
      <c r="Q260">
        <v>9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1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1</v>
      </c>
      <c r="HW260">
        <v>2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2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1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1</v>
      </c>
      <c r="MM260">
        <v>0</v>
      </c>
      <c r="MN260">
        <v>1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1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</row>
    <row r="261" spans="1:467" hidden="1" x14ac:dyDescent="0.4">
      <c r="A261" t="str">
        <f>"9784861829437"</f>
        <v>9784861829437</v>
      </c>
      <c r="B261" t="str">
        <f>"4861829437"</f>
        <v>4861829437</v>
      </c>
      <c r="C261" t="s">
        <v>2377</v>
      </c>
      <c r="D261" t="s">
        <v>2378</v>
      </c>
      <c r="E261" t="s">
        <v>2369</v>
      </c>
      <c r="G261" t="str">
        <f>"0074"</f>
        <v>0074</v>
      </c>
      <c r="H261" t="s">
        <v>481</v>
      </c>
      <c r="I261" t="s">
        <v>1893</v>
      </c>
      <c r="J261" t="s">
        <v>1393</v>
      </c>
      <c r="L261" s="1">
        <v>44881</v>
      </c>
      <c r="M261">
        <v>12000</v>
      </c>
      <c r="N261">
        <v>11</v>
      </c>
      <c r="O261">
        <v>10</v>
      </c>
      <c r="P261">
        <v>11</v>
      </c>
      <c r="Q261">
        <v>10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1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1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1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1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1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1</v>
      </c>
      <c r="LS261">
        <v>0</v>
      </c>
      <c r="LT261">
        <v>0</v>
      </c>
      <c r="LU261">
        <v>0</v>
      </c>
      <c r="LV261">
        <v>0</v>
      </c>
      <c r="LW261">
        <v>1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2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</row>
    <row r="262" spans="1:467" hidden="1" x14ac:dyDescent="0.4">
      <c r="A262" t="str">
        <f>"9784794225573"</f>
        <v>9784794225573</v>
      </c>
      <c r="B262" t="str">
        <f>"4794225571"</f>
        <v>4794225571</v>
      </c>
      <c r="C262" t="s">
        <v>2379</v>
      </c>
      <c r="D262" t="s">
        <v>2380</v>
      </c>
      <c r="E262" t="s">
        <v>848</v>
      </c>
      <c r="G262" t="str">
        <f>"0098"</f>
        <v>0098</v>
      </c>
      <c r="H262" t="s">
        <v>481</v>
      </c>
      <c r="I262" t="s">
        <v>1893</v>
      </c>
      <c r="J262" t="s">
        <v>1894</v>
      </c>
      <c r="L262" s="1">
        <v>44589</v>
      </c>
      <c r="M262">
        <v>1500</v>
      </c>
      <c r="N262">
        <v>11</v>
      </c>
      <c r="O262">
        <v>10</v>
      </c>
      <c r="P262">
        <v>11</v>
      </c>
      <c r="Q262">
        <v>10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1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1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1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1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2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1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1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1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1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</row>
    <row r="263" spans="1:467" x14ac:dyDescent="0.4">
      <c r="A263" t="str">
        <f>"9784087925364"</f>
        <v>9784087925364</v>
      </c>
      <c r="B263" t="str">
        <f>"4087925366"</f>
        <v>4087925366</v>
      </c>
      <c r="C263" t="s">
        <v>2381</v>
      </c>
      <c r="D263" t="s">
        <v>1909</v>
      </c>
      <c r="E263" t="s">
        <v>536</v>
      </c>
      <c r="F263" t="s">
        <v>1910</v>
      </c>
      <c r="G263" t="str">
        <f>"0979"</f>
        <v>0979</v>
      </c>
      <c r="H263" t="s">
        <v>481</v>
      </c>
      <c r="I263" t="s">
        <v>1856</v>
      </c>
      <c r="J263" t="s">
        <v>1856</v>
      </c>
      <c r="L263" s="1">
        <v>43256</v>
      </c>
      <c r="M263">
        <v>600</v>
      </c>
      <c r="N263">
        <v>11</v>
      </c>
      <c r="O263">
        <v>9</v>
      </c>
      <c r="P263">
        <v>11</v>
      </c>
      <c r="Q263">
        <v>9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1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1</v>
      </c>
      <c r="HW263">
        <v>2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2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1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1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1</v>
      </c>
      <c r="MM263">
        <v>0</v>
      </c>
      <c r="MN263">
        <v>1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1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</row>
    <row r="264" spans="1:467" hidden="1" x14ac:dyDescent="0.4">
      <c r="A264" t="str">
        <f>"9784582839098"</f>
        <v>9784582839098</v>
      </c>
      <c r="B264" t="str">
        <f>"4582839096"</f>
        <v>4582839096</v>
      </c>
      <c r="C264" t="s">
        <v>2382</v>
      </c>
      <c r="D264" t="s">
        <v>2383</v>
      </c>
      <c r="E264" t="s">
        <v>669</v>
      </c>
      <c r="G264" t="str">
        <f>"0074"</f>
        <v>0074</v>
      </c>
      <c r="H264" t="s">
        <v>481</v>
      </c>
      <c r="I264" t="s">
        <v>1893</v>
      </c>
      <c r="J264" t="s">
        <v>1393</v>
      </c>
      <c r="L264" s="1">
        <v>44861</v>
      </c>
      <c r="M264">
        <v>3800</v>
      </c>
      <c r="N264">
        <v>11</v>
      </c>
      <c r="O264">
        <v>10</v>
      </c>
      <c r="P264">
        <v>11</v>
      </c>
      <c r="Q264">
        <v>10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1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1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1</v>
      </c>
      <c r="CT264">
        <v>2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1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1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1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1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</row>
    <row r="265" spans="1:467" hidden="1" x14ac:dyDescent="0.4">
      <c r="A265" t="str">
        <f>"9784000615488"</f>
        <v>9784000615488</v>
      </c>
      <c r="B265" t="str">
        <f>"4000615483"</f>
        <v>4000615483</v>
      </c>
      <c r="C265" t="s">
        <v>2384</v>
      </c>
      <c r="D265" t="s">
        <v>2385</v>
      </c>
      <c r="E265" t="s">
        <v>521</v>
      </c>
      <c r="G265" t="str">
        <f>"0079"</f>
        <v>0079</v>
      </c>
      <c r="H265" t="s">
        <v>481</v>
      </c>
      <c r="I265" t="s">
        <v>1893</v>
      </c>
      <c r="J265" t="s">
        <v>1856</v>
      </c>
      <c r="L265" s="1">
        <v>44951</v>
      </c>
      <c r="M265">
        <v>2400</v>
      </c>
      <c r="N265">
        <v>11</v>
      </c>
      <c r="O265">
        <v>9</v>
      </c>
      <c r="P265">
        <v>11</v>
      </c>
      <c r="Q265">
        <v>9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1</v>
      </c>
      <c r="CS265">
        <v>1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2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1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2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1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</row>
    <row r="266" spans="1:467" x14ac:dyDescent="0.4">
      <c r="A266" t="str">
        <f>"9784087925340"</f>
        <v>9784087925340</v>
      </c>
      <c r="B266" t="str">
        <f>"408792534X"</f>
        <v>408792534X</v>
      </c>
      <c r="C266" t="s">
        <v>2386</v>
      </c>
      <c r="D266" t="s">
        <v>1909</v>
      </c>
      <c r="E266" t="s">
        <v>536</v>
      </c>
      <c r="F266" t="s">
        <v>1910</v>
      </c>
      <c r="G266" t="str">
        <f>"0979"</f>
        <v>0979</v>
      </c>
      <c r="H266" t="s">
        <v>481</v>
      </c>
      <c r="I266" t="s">
        <v>1856</v>
      </c>
      <c r="J266" t="s">
        <v>1856</v>
      </c>
      <c r="L266" s="1">
        <v>43256</v>
      </c>
      <c r="M266">
        <v>600</v>
      </c>
      <c r="N266">
        <v>11</v>
      </c>
      <c r="O266">
        <v>8</v>
      </c>
      <c r="P266">
        <v>11</v>
      </c>
      <c r="Q266">
        <v>8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1</v>
      </c>
      <c r="HW266">
        <v>2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2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1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2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1</v>
      </c>
      <c r="MM266">
        <v>0</v>
      </c>
      <c r="MN266">
        <v>1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1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</row>
    <row r="267" spans="1:467" x14ac:dyDescent="0.4">
      <c r="A267" t="str">
        <f>"9784088924250"</f>
        <v>9784088924250</v>
      </c>
      <c r="B267" t="str">
        <f>"4088924258"</f>
        <v>4088924258</v>
      </c>
      <c r="C267" t="s">
        <v>2387</v>
      </c>
      <c r="D267" t="s">
        <v>1858</v>
      </c>
      <c r="E267" t="s">
        <v>536</v>
      </c>
      <c r="F267" t="s">
        <v>1859</v>
      </c>
      <c r="G267" t="str">
        <f>"9979"</f>
        <v>9979</v>
      </c>
      <c r="H267" t="s">
        <v>1855</v>
      </c>
      <c r="I267" t="s">
        <v>1856</v>
      </c>
      <c r="J267" t="s">
        <v>1856</v>
      </c>
      <c r="L267" s="1">
        <v>44818</v>
      </c>
      <c r="M267">
        <v>600</v>
      </c>
      <c r="N267">
        <v>11</v>
      </c>
      <c r="O267">
        <v>9</v>
      </c>
      <c r="P267">
        <v>11</v>
      </c>
      <c r="Q267">
        <v>9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2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1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1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2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1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1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1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1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1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</row>
    <row r="268" spans="1:467" hidden="1" x14ac:dyDescent="0.4">
      <c r="A268" t="str">
        <f>"9784756255525"</f>
        <v>9784756255525</v>
      </c>
      <c r="B268" t="str">
        <f>"4756255523"</f>
        <v>4756255523</v>
      </c>
      <c r="C268" t="s">
        <v>2388</v>
      </c>
      <c r="D268" t="s">
        <v>2389</v>
      </c>
      <c r="E268" t="s">
        <v>2390</v>
      </c>
      <c r="G268" t="str">
        <f>"8793"</f>
        <v>8793</v>
      </c>
      <c r="H268" t="s">
        <v>1923</v>
      </c>
      <c r="I268" t="s">
        <v>1924</v>
      </c>
      <c r="J268" t="s">
        <v>488</v>
      </c>
      <c r="L268" s="1">
        <v>44606</v>
      </c>
      <c r="M268">
        <v>1200</v>
      </c>
      <c r="N268">
        <v>11</v>
      </c>
      <c r="O268">
        <v>10</v>
      </c>
      <c r="P268">
        <v>11</v>
      </c>
      <c r="Q268">
        <v>10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1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1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1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2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1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1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1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1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1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1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</row>
    <row r="269" spans="1:467" hidden="1" x14ac:dyDescent="0.4">
      <c r="A269" t="str">
        <f>"9784065292686"</f>
        <v>9784065292686</v>
      </c>
      <c r="B269" t="str">
        <f>"4065292689"</f>
        <v>4065292689</v>
      </c>
      <c r="C269" t="s">
        <v>2391</v>
      </c>
      <c r="D269" t="s">
        <v>2392</v>
      </c>
      <c r="E269" t="s">
        <v>548</v>
      </c>
      <c r="G269" t="str">
        <f>"0093"</f>
        <v>0093</v>
      </c>
      <c r="H269" t="s">
        <v>481</v>
      </c>
      <c r="I269" t="s">
        <v>1893</v>
      </c>
      <c r="J269" t="s">
        <v>488</v>
      </c>
      <c r="L269" s="1">
        <v>44811</v>
      </c>
      <c r="M269">
        <v>1600</v>
      </c>
      <c r="N269">
        <v>11</v>
      </c>
      <c r="O269">
        <v>10</v>
      </c>
      <c r="P269">
        <v>11</v>
      </c>
      <c r="Q269">
        <v>10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1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1</v>
      </c>
      <c r="GV269">
        <v>0</v>
      </c>
      <c r="GW269">
        <v>1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1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1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2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1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1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1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1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</row>
    <row r="270" spans="1:467" hidden="1" x14ac:dyDescent="0.4">
      <c r="A270" t="str">
        <f>"9784861829345"</f>
        <v>9784861829345</v>
      </c>
      <c r="B270" t="str">
        <f>"4861829348"</f>
        <v>4861829348</v>
      </c>
      <c r="C270" t="s">
        <v>2393</v>
      </c>
      <c r="D270" t="s">
        <v>1344</v>
      </c>
      <c r="E270" t="s">
        <v>2369</v>
      </c>
      <c r="G270" t="str">
        <f>"0095"</f>
        <v>0095</v>
      </c>
      <c r="H270" t="s">
        <v>481</v>
      </c>
      <c r="I270" t="s">
        <v>1893</v>
      </c>
      <c r="J270" t="s">
        <v>509</v>
      </c>
      <c r="L270" s="1">
        <v>44835</v>
      </c>
      <c r="M270">
        <v>2000</v>
      </c>
      <c r="N270">
        <v>11</v>
      </c>
      <c r="O270">
        <v>10</v>
      </c>
      <c r="P270">
        <v>11</v>
      </c>
      <c r="Q270">
        <v>10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1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1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2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1</v>
      </c>
      <c r="NO270">
        <v>0</v>
      </c>
      <c r="NP270">
        <v>0</v>
      </c>
      <c r="NQ270">
        <v>0</v>
      </c>
      <c r="NR270">
        <v>1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1</v>
      </c>
      <c r="QJ270">
        <v>0</v>
      </c>
      <c r="QK270">
        <v>1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1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</row>
    <row r="271" spans="1:467" hidden="1" x14ac:dyDescent="0.4">
      <c r="A271" t="str">
        <f>"9784823411625"</f>
        <v>9784823411625</v>
      </c>
      <c r="B271" t="str">
        <f>"4823411625"</f>
        <v>4823411625</v>
      </c>
      <c r="C271" t="s">
        <v>2394</v>
      </c>
      <c r="D271" t="s">
        <v>2395</v>
      </c>
      <c r="E271" t="s">
        <v>2396</v>
      </c>
      <c r="G271" t="str">
        <f>"3090"</f>
        <v>3090</v>
      </c>
      <c r="H271" t="s">
        <v>761</v>
      </c>
      <c r="I271" t="s">
        <v>1893</v>
      </c>
      <c r="J271" t="s">
        <v>1885</v>
      </c>
      <c r="L271" s="1">
        <v>44774</v>
      </c>
      <c r="M271">
        <v>4000</v>
      </c>
      <c r="N271">
        <v>11</v>
      </c>
      <c r="O271">
        <v>9</v>
      </c>
      <c r="P271">
        <v>11</v>
      </c>
      <c r="Q271">
        <v>9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1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1</v>
      </c>
      <c r="CR271">
        <v>0</v>
      </c>
      <c r="CS271">
        <v>1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2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2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1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1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</row>
    <row r="272" spans="1:467" hidden="1" x14ac:dyDescent="0.4">
      <c r="A272" t="str">
        <f>"9784801004900"</f>
        <v>9784801004900</v>
      </c>
      <c r="B272" t="str">
        <f>"4801004903"</f>
        <v>4801004903</v>
      </c>
      <c r="C272" t="s">
        <v>2397</v>
      </c>
      <c r="D272" t="s">
        <v>2398</v>
      </c>
      <c r="E272" t="s">
        <v>2340</v>
      </c>
      <c r="F272" t="s">
        <v>2341</v>
      </c>
      <c r="G272" t="str">
        <f>"0098"</f>
        <v>0098</v>
      </c>
      <c r="H272" t="s">
        <v>481</v>
      </c>
      <c r="I272" t="s">
        <v>1893</v>
      </c>
      <c r="J272" t="s">
        <v>1894</v>
      </c>
      <c r="L272" s="1">
        <v>44922</v>
      </c>
      <c r="M272">
        <v>7000</v>
      </c>
      <c r="N272">
        <v>11</v>
      </c>
      <c r="O272">
        <v>8</v>
      </c>
      <c r="P272">
        <v>11</v>
      </c>
      <c r="Q272">
        <v>8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1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1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4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1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1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1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1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</row>
    <row r="273" spans="1:467" x14ac:dyDescent="0.4">
      <c r="A273" t="str">
        <f>"9784087925326"</f>
        <v>9784087925326</v>
      </c>
      <c r="B273" t="str">
        <f>"4087925323"</f>
        <v>4087925323</v>
      </c>
      <c r="C273" t="s">
        <v>2399</v>
      </c>
      <c r="D273" t="s">
        <v>1909</v>
      </c>
      <c r="E273" t="s">
        <v>536</v>
      </c>
      <c r="F273" t="s">
        <v>1910</v>
      </c>
      <c r="G273" t="str">
        <f>"0979"</f>
        <v>0979</v>
      </c>
      <c r="H273" t="s">
        <v>481</v>
      </c>
      <c r="I273" t="s">
        <v>1856</v>
      </c>
      <c r="J273" t="s">
        <v>1856</v>
      </c>
      <c r="L273" s="1">
        <v>43256</v>
      </c>
      <c r="M273">
        <v>550</v>
      </c>
      <c r="N273">
        <v>11</v>
      </c>
      <c r="O273">
        <v>8</v>
      </c>
      <c r="P273">
        <v>11</v>
      </c>
      <c r="Q273">
        <v>8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1</v>
      </c>
      <c r="HW273">
        <v>2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2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1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2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1</v>
      </c>
      <c r="MM273">
        <v>0</v>
      </c>
      <c r="MN273">
        <v>1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1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</row>
    <row r="274" spans="1:467" x14ac:dyDescent="0.4">
      <c r="A274" t="str">
        <f>"9784088925844"</f>
        <v>9784088925844</v>
      </c>
      <c r="B274" t="str">
        <f>"408892584X"</f>
        <v>408892584X</v>
      </c>
      <c r="C274" t="s">
        <v>2400</v>
      </c>
      <c r="D274" t="s">
        <v>2401</v>
      </c>
      <c r="E274" t="s">
        <v>536</v>
      </c>
      <c r="F274" t="s">
        <v>1859</v>
      </c>
      <c r="G274" t="str">
        <f>"9979"</f>
        <v>9979</v>
      </c>
      <c r="H274" t="s">
        <v>1855</v>
      </c>
      <c r="I274" t="s">
        <v>1856</v>
      </c>
      <c r="J274" t="s">
        <v>1856</v>
      </c>
      <c r="L274" s="1">
        <v>44945</v>
      </c>
      <c r="M274">
        <v>650</v>
      </c>
      <c r="N274">
        <v>11</v>
      </c>
      <c r="O274">
        <v>9</v>
      </c>
      <c r="P274">
        <v>11</v>
      </c>
      <c r="Q274">
        <v>9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1</v>
      </c>
      <c r="BF274">
        <v>0</v>
      </c>
      <c r="BG274">
        <v>1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2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1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2</v>
      </c>
      <c r="HW274">
        <v>0</v>
      </c>
      <c r="HX274">
        <v>0</v>
      </c>
      <c r="HY274">
        <v>1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1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1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</row>
    <row r="275" spans="1:467" hidden="1" x14ac:dyDescent="0.4">
      <c r="A275" t="str">
        <f>"9784065283455"</f>
        <v>9784065283455</v>
      </c>
      <c r="B275" t="str">
        <f>"4065283450"</f>
        <v>4065283450</v>
      </c>
      <c r="C275" t="s">
        <v>2402</v>
      </c>
      <c r="D275" t="s">
        <v>814</v>
      </c>
      <c r="E275" t="s">
        <v>548</v>
      </c>
      <c r="G275" t="str">
        <f>"0095"</f>
        <v>0095</v>
      </c>
      <c r="H275" t="s">
        <v>481</v>
      </c>
      <c r="I275" t="s">
        <v>1893</v>
      </c>
      <c r="J275" t="s">
        <v>509</v>
      </c>
      <c r="L275" s="1">
        <v>44762</v>
      </c>
      <c r="M275">
        <v>1300</v>
      </c>
      <c r="N275">
        <v>11</v>
      </c>
      <c r="O275">
        <v>9</v>
      </c>
      <c r="P275">
        <v>11</v>
      </c>
      <c r="Q275">
        <v>9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1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3</v>
      </c>
      <c r="CJ275">
        <v>0</v>
      </c>
      <c r="CK275">
        <v>1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1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1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1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1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1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1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</row>
    <row r="276" spans="1:467" hidden="1" x14ac:dyDescent="0.4">
      <c r="A276" t="str">
        <f>"9784864108454"</f>
        <v>9784864108454</v>
      </c>
      <c r="B276" t="str">
        <f>"4864108455"</f>
        <v>4864108455</v>
      </c>
      <c r="C276" t="s">
        <v>2403</v>
      </c>
      <c r="D276" t="s">
        <v>2085</v>
      </c>
      <c r="E276" t="s">
        <v>2404</v>
      </c>
      <c r="G276" t="str">
        <f>"0093"</f>
        <v>0093</v>
      </c>
      <c r="H276" t="s">
        <v>481</v>
      </c>
      <c r="I276" t="s">
        <v>1893</v>
      </c>
      <c r="J276" t="s">
        <v>488</v>
      </c>
      <c r="L276" s="1">
        <v>44403</v>
      </c>
      <c r="M276">
        <v>1273</v>
      </c>
      <c r="N276">
        <v>11</v>
      </c>
      <c r="O276">
        <v>9</v>
      </c>
      <c r="P276">
        <v>11</v>
      </c>
      <c r="Q276">
        <v>9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1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1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1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1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2</v>
      </c>
      <c r="JN276">
        <v>0</v>
      </c>
      <c r="JO276">
        <v>0</v>
      </c>
      <c r="JP276">
        <v>0</v>
      </c>
      <c r="JQ276">
        <v>1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2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1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1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</row>
    <row r="277" spans="1:467" x14ac:dyDescent="0.4">
      <c r="A277" t="str">
        <f>"9784098614998"</f>
        <v>9784098614998</v>
      </c>
      <c r="B277" t="str">
        <f>"4098614995"</f>
        <v>4098614995</v>
      </c>
      <c r="C277" t="s">
        <v>2405</v>
      </c>
      <c r="D277" t="s">
        <v>2406</v>
      </c>
      <c r="E277" t="s">
        <v>1069</v>
      </c>
      <c r="F277" t="s">
        <v>2407</v>
      </c>
      <c r="G277" t="str">
        <f>"9979"</f>
        <v>9979</v>
      </c>
      <c r="H277" t="s">
        <v>1855</v>
      </c>
      <c r="I277" t="s">
        <v>1856</v>
      </c>
      <c r="J277" t="s">
        <v>1856</v>
      </c>
      <c r="L277" s="1">
        <v>44938</v>
      </c>
      <c r="M277">
        <v>650</v>
      </c>
      <c r="N277">
        <v>11</v>
      </c>
      <c r="O277">
        <v>9</v>
      </c>
      <c r="P277">
        <v>11</v>
      </c>
      <c r="Q277">
        <v>9</v>
      </c>
      <c r="R277">
        <v>0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2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1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1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2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1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1</v>
      </c>
      <c r="LX277">
        <v>1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1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</row>
    <row r="278" spans="1:467" x14ac:dyDescent="0.4">
      <c r="A278" t="str">
        <f>"9784088814551"</f>
        <v>9784088814551</v>
      </c>
      <c r="B278" t="str">
        <f>"408881455X"</f>
        <v>408881455X</v>
      </c>
      <c r="C278" t="s">
        <v>2408</v>
      </c>
      <c r="D278" t="s">
        <v>2042</v>
      </c>
      <c r="E278" t="s">
        <v>536</v>
      </c>
      <c r="F278" t="s">
        <v>1854</v>
      </c>
      <c r="G278" t="str">
        <f>"9979"</f>
        <v>9979</v>
      </c>
      <c r="H278" t="s">
        <v>1855</v>
      </c>
      <c r="I278" t="s">
        <v>1856</v>
      </c>
      <c r="J278" t="s">
        <v>1856</v>
      </c>
      <c r="L278" s="1">
        <v>43132</v>
      </c>
      <c r="M278">
        <v>440</v>
      </c>
      <c r="N278">
        <v>10</v>
      </c>
      <c r="O278">
        <v>8</v>
      </c>
      <c r="P278">
        <v>10</v>
      </c>
      <c r="Q278">
        <v>8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2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2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1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1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1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1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1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1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</row>
    <row r="279" spans="1:467" x14ac:dyDescent="0.4">
      <c r="A279" t="str">
        <f>"9784088923642"</f>
        <v>9784088923642</v>
      </c>
      <c r="B279" t="str">
        <f>"4088923642"</f>
        <v>4088923642</v>
      </c>
      <c r="C279" t="s">
        <v>2409</v>
      </c>
      <c r="D279" t="s">
        <v>1867</v>
      </c>
      <c r="E279" t="s">
        <v>536</v>
      </c>
      <c r="F279" t="s">
        <v>1859</v>
      </c>
      <c r="G279" t="str">
        <f>"9979"</f>
        <v>9979</v>
      </c>
      <c r="H279" t="s">
        <v>1855</v>
      </c>
      <c r="I279" t="s">
        <v>1856</v>
      </c>
      <c r="J279" t="s">
        <v>1856</v>
      </c>
      <c r="L279" s="1">
        <v>44729</v>
      </c>
      <c r="M279">
        <v>580</v>
      </c>
      <c r="N279">
        <v>10</v>
      </c>
      <c r="O279">
        <v>10</v>
      </c>
      <c r="P279">
        <v>10</v>
      </c>
      <c r="Q279">
        <v>10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1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1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1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1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1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1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1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0</v>
      </c>
      <c r="PB279">
        <v>0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</v>
      </c>
      <c r="PJ279">
        <v>0</v>
      </c>
      <c r="PK279">
        <v>0</v>
      </c>
      <c r="PL279">
        <v>0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</v>
      </c>
      <c r="PS279">
        <v>0</v>
      </c>
      <c r="PT279">
        <v>0</v>
      </c>
      <c r="PU279">
        <v>0</v>
      </c>
      <c r="PV279">
        <v>0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0</v>
      </c>
      <c r="QC279">
        <v>0</v>
      </c>
      <c r="QD279">
        <v>0</v>
      </c>
      <c r="QE279">
        <v>0</v>
      </c>
      <c r="QF279">
        <v>0</v>
      </c>
      <c r="QG279">
        <v>0</v>
      </c>
      <c r="QH279">
        <v>0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0</v>
      </c>
      <c r="QY279">
        <v>0</v>
      </c>
    </row>
    <row r="280" spans="1:467" x14ac:dyDescent="0.4">
      <c r="A280" t="str">
        <f>"9784088822181"</f>
        <v>9784088822181</v>
      </c>
      <c r="B280" t="str">
        <f>"4088822188"</f>
        <v>4088822188</v>
      </c>
      <c r="C280" t="s">
        <v>2410</v>
      </c>
      <c r="D280" t="s">
        <v>1869</v>
      </c>
      <c r="E280" t="s">
        <v>536</v>
      </c>
      <c r="F280" t="s">
        <v>1854</v>
      </c>
      <c r="G280" t="str">
        <f>"9979"</f>
        <v>9979</v>
      </c>
      <c r="H280" t="s">
        <v>1855</v>
      </c>
      <c r="I280" t="s">
        <v>1856</v>
      </c>
      <c r="J280" t="s">
        <v>1856</v>
      </c>
      <c r="L280" s="1">
        <v>43834</v>
      </c>
      <c r="M280">
        <v>440</v>
      </c>
      <c r="N280">
        <v>10</v>
      </c>
      <c r="O280">
        <v>9</v>
      </c>
      <c r="P280">
        <v>10</v>
      </c>
      <c r="Q280">
        <v>9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1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1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1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1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2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1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1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1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0</v>
      </c>
      <c r="OY280">
        <v>0</v>
      </c>
      <c r="OZ280">
        <v>0</v>
      </c>
      <c r="PA280">
        <v>0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</v>
      </c>
      <c r="QC280">
        <v>0</v>
      </c>
      <c r="QD280">
        <v>0</v>
      </c>
      <c r="QE280">
        <v>0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</row>
    <row r="281" spans="1:467" x14ac:dyDescent="0.4">
      <c r="A281" t="str">
        <f>"9784087925449"</f>
        <v>9784087925449</v>
      </c>
      <c r="B281" t="str">
        <f>"4087925447"</f>
        <v>4087925447</v>
      </c>
      <c r="C281" t="s">
        <v>2411</v>
      </c>
      <c r="D281" t="s">
        <v>1909</v>
      </c>
      <c r="E281" t="s">
        <v>536</v>
      </c>
      <c r="F281" t="s">
        <v>1910</v>
      </c>
      <c r="G281" t="str">
        <f>"0979"</f>
        <v>0979</v>
      </c>
      <c r="H281" t="s">
        <v>481</v>
      </c>
      <c r="I281" t="s">
        <v>1856</v>
      </c>
      <c r="J281" t="s">
        <v>1856</v>
      </c>
      <c r="L281" s="1">
        <v>43315</v>
      </c>
      <c r="M281">
        <v>600</v>
      </c>
      <c r="N281">
        <v>10</v>
      </c>
      <c r="O281">
        <v>8</v>
      </c>
      <c r="P281">
        <v>10</v>
      </c>
      <c r="Q281">
        <v>8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1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2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2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1</v>
      </c>
      <c r="JR281">
        <v>1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1</v>
      </c>
      <c r="MM281">
        <v>0</v>
      </c>
      <c r="MN281">
        <v>1</v>
      </c>
      <c r="MO281">
        <v>0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</v>
      </c>
      <c r="NE281">
        <v>0</v>
      </c>
      <c r="NF281">
        <v>0</v>
      </c>
      <c r="NG281">
        <v>0</v>
      </c>
      <c r="NH281">
        <v>0</v>
      </c>
      <c r="NI281">
        <v>0</v>
      </c>
      <c r="NJ281">
        <v>0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  <c r="PB281">
        <v>0</v>
      </c>
      <c r="PC281">
        <v>0</v>
      </c>
      <c r="PD281">
        <v>0</v>
      </c>
      <c r="PE281">
        <v>0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0</v>
      </c>
      <c r="PL281">
        <v>0</v>
      </c>
      <c r="PM281">
        <v>0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0</v>
      </c>
      <c r="PT281">
        <v>0</v>
      </c>
      <c r="PU281">
        <v>0</v>
      </c>
      <c r="PV281">
        <v>0</v>
      </c>
      <c r="PW281">
        <v>0</v>
      </c>
      <c r="PX281">
        <v>0</v>
      </c>
      <c r="PY281">
        <v>0</v>
      </c>
      <c r="PZ281">
        <v>0</v>
      </c>
      <c r="QA281">
        <v>0</v>
      </c>
      <c r="QB281">
        <v>0</v>
      </c>
      <c r="QC281">
        <v>0</v>
      </c>
      <c r="QD281">
        <v>0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1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</row>
    <row r="282" spans="1:467" x14ac:dyDescent="0.4">
      <c r="A282" t="str">
        <f>"9784088820118"</f>
        <v>9784088820118</v>
      </c>
      <c r="B282" t="str">
        <f>"4088820118"</f>
        <v>4088820118</v>
      </c>
      <c r="C282" t="s">
        <v>2412</v>
      </c>
      <c r="D282" t="s">
        <v>2006</v>
      </c>
      <c r="E282" t="s">
        <v>536</v>
      </c>
      <c r="F282" t="s">
        <v>1935</v>
      </c>
      <c r="G282" t="str">
        <f>"9979"</f>
        <v>9979</v>
      </c>
      <c r="H282" t="s">
        <v>1855</v>
      </c>
      <c r="I282" t="s">
        <v>1856</v>
      </c>
      <c r="J282" t="s">
        <v>1856</v>
      </c>
      <c r="L282" s="1">
        <v>43650</v>
      </c>
      <c r="M282">
        <v>480</v>
      </c>
      <c r="N282">
        <v>10</v>
      </c>
      <c r="O282">
        <v>6</v>
      </c>
      <c r="P282">
        <v>10</v>
      </c>
      <c r="Q282">
        <v>6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1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1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1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1</v>
      </c>
      <c r="FP282">
        <v>0</v>
      </c>
      <c r="FQ282">
        <v>0</v>
      </c>
      <c r="FR282">
        <v>0</v>
      </c>
      <c r="FS282">
        <v>0</v>
      </c>
      <c r="FT282">
        <v>5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0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0</v>
      </c>
      <c r="NE282">
        <v>0</v>
      </c>
      <c r="NF282">
        <v>0</v>
      </c>
      <c r="NG282">
        <v>0</v>
      </c>
      <c r="NH282">
        <v>0</v>
      </c>
      <c r="NI282">
        <v>0</v>
      </c>
      <c r="NJ282">
        <v>0</v>
      </c>
      <c r="NK282">
        <v>0</v>
      </c>
      <c r="NL282">
        <v>0</v>
      </c>
      <c r="NM282">
        <v>0</v>
      </c>
      <c r="NN282">
        <v>0</v>
      </c>
      <c r="NO282">
        <v>0</v>
      </c>
      <c r="NP282">
        <v>0</v>
      </c>
      <c r="NQ282">
        <v>0</v>
      </c>
      <c r="NR282">
        <v>0</v>
      </c>
      <c r="NS282">
        <v>0</v>
      </c>
      <c r="NT282">
        <v>0</v>
      </c>
      <c r="NU282">
        <v>0</v>
      </c>
      <c r="NV282">
        <v>0</v>
      </c>
      <c r="NW282">
        <v>0</v>
      </c>
      <c r="NX282">
        <v>0</v>
      </c>
      <c r="NY282">
        <v>0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0</v>
      </c>
      <c r="OH282">
        <v>0</v>
      </c>
      <c r="OI282">
        <v>0</v>
      </c>
      <c r="OJ282">
        <v>0</v>
      </c>
      <c r="OK282">
        <v>0</v>
      </c>
      <c r="OL282">
        <v>0</v>
      </c>
      <c r="OM282">
        <v>0</v>
      </c>
      <c r="ON282">
        <v>0</v>
      </c>
      <c r="OO282">
        <v>0</v>
      </c>
      <c r="OP282">
        <v>0</v>
      </c>
      <c r="OQ282">
        <v>0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0</v>
      </c>
      <c r="PL282">
        <v>0</v>
      </c>
      <c r="PM282">
        <v>0</v>
      </c>
      <c r="PN282">
        <v>0</v>
      </c>
      <c r="PO282">
        <v>0</v>
      </c>
      <c r="PP282">
        <v>0</v>
      </c>
      <c r="PQ282">
        <v>0</v>
      </c>
      <c r="PR282">
        <v>0</v>
      </c>
      <c r="PS282">
        <v>0</v>
      </c>
      <c r="PT282">
        <v>0</v>
      </c>
      <c r="PU282">
        <v>0</v>
      </c>
      <c r="PV282">
        <v>0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0</v>
      </c>
      <c r="QC282">
        <v>0</v>
      </c>
      <c r="QD282">
        <v>0</v>
      </c>
      <c r="QE282">
        <v>0</v>
      </c>
      <c r="QF282">
        <v>0</v>
      </c>
      <c r="QG282">
        <v>0</v>
      </c>
      <c r="QH282">
        <v>0</v>
      </c>
      <c r="QI282">
        <v>0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</v>
      </c>
      <c r="QS282">
        <v>0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</row>
    <row r="283" spans="1:467" x14ac:dyDescent="0.4">
      <c r="A283" t="str">
        <f>"9784065304730"</f>
        <v>9784065304730</v>
      </c>
      <c r="B283" t="str">
        <f>"4065304733"</f>
        <v>4065304733</v>
      </c>
      <c r="C283" t="s">
        <v>2413</v>
      </c>
      <c r="D283" t="s">
        <v>2414</v>
      </c>
      <c r="E283" t="s">
        <v>548</v>
      </c>
      <c r="F283" t="s">
        <v>1873</v>
      </c>
      <c r="G283" t="str">
        <f>"9979"</f>
        <v>9979</v>
      </c>
      <c r="H283" t="s">
        <v>1855</v>
      </c>
      <c r="I283" t="s">
        <v>1856</v>
      </c>
      <c r="J283" t="s">
        <v>1856</v>
      </c>
      <c r="L283" s="1">
        <v>44949</v>
      </c>
      <c r="M283">
        <v>660</v>
      </c>
      <c r="N283">
        <v>10</v>
      </c>
      <c r="O283">
        <v>10</v>
      </c>
      <c r="P283">
        <v>10</v>
      </c>
      <c r="Q283">
        <v>10</v>
      </c>
      <c r="R283">
        <v>0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1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1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1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1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1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1</v>
      </c>
      <c r="MI283">
        <v>0</v>
      </c>
      <c r="MJ283">
        <v>0</v>
      </c>
      <c r="MK283">
        <v>0</v>
      </c>
      <c r="ML283">
        <v>0</v>
      </c>
      <c r="MM283">
        <v>1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0</v>
      </c>
      <c r="NL283">
        <v>0</v>
      </c>
      <c r="NM283">
        <v>0</v>
      </c>
      <c r="NN283">
        <v>0</v>
      </c>
      <c r="NO283">
        <v>0</v>
      </c>
      <c r="NP283">
        <v>0</v>
      </c>
      <c r="NQ283">
        <v>0</v>
      </c>
      <c r="NR283">
        <v>0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0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1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0</v>
      </c>
      <c r="PB283">
        <v>0</v>
      </c>
      <c r="PC283">
        <v>0</v>
      </c>
      <c r="PD283">
        <v>0</v>
      </c>
      <c r="PE283">
        <v>0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0</v>
      </c>
      <c r="PL283">
        <v>0</v>
      </c>
      <c r="PM283">
        <v>0</v>
      </c>
      <c r="PN283">
        <v>0</v>
      </c>
      <c r="PO283">
        <v>0</v>
      </c>
      <c r="PP283">
        <v>0</v>
      </c>
      <c r="PQ283">
        <v>0</v>
      </c>
      <c r="PR283">
        <v>0</v>
      </c>
      <c r="PS283">
        <v>0</v>
      </c>
      <c r="PT283">
        <v>0</v>
      </c>
      <c r="PU283">
        <v>0</v>
      </c>
      <c r="PV283">
        <v>0</v>
      </c>
      <c r="PW283">
        <v>0</v>
      </c>
      <c r="PX283">
        <v>0</v>
      </c>
      <c r="PY283">
        <v>0</v>
      </c>
      <c r="PZ283">
        <v>0</v>
      </c>
      <c r="QA283">
        <v>0</v>
      </c>
      <c r="QB283">
        <v>0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</row>
    <row r="284" spans="1:467" hidden="1" x14ac:dyDescent="0.4">
      <c r="A284" t="str">
        <f>"9784866512419"</f>
        <v>9784866512419</v>
      </c>
      <c r="B284" t="str">
        <f>"4866512415"</f>
        <v>4866512415</v>
      </c>
      <c r="C284" t="s">
        <v>2415</v>
      </c>
      <c r="D284" t="s">
        <v>2416</v>
      </c>
      <c r="E284" t="s">
        <v>2417</v>
      </c>
      <c r="G284" t="str">
        <f>"0095"</f>
        <v>0095</v>
      </c>
      <c r="H284" t="s">
        <v>481</v>
      </c>
      <c r="I284" t="s">
        <v>1893</v>
      </c>
      <c r="J284" t="s">
        <v>509</v>
      </c>
      <c r="L284" s="1">
        <v>44020</v>
      </c>
      <c r="M284">
        <v>770</v>
      </c>
      <c r="N284">
        <v>10</v>
      </c>
      <c r="O284">
        <v>9</v>
      </c>
      <c r="P284">
        <v>10</v>
      </c>
      <c r="Q284">
        <v>9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1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1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1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1</v>
      </c>
      <c r="IU284">
        <v>0</v>
      </c>
      <c r="IV284">
        <v>0</v>
      </c>
      <c r="IW284">
        <v>0</v>
      </c>
      <c r="IX284">
        <v>0</v>
      </c>
      <c r="IY284">
        <v>1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2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1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1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0</v>
      </c>
      <c r="NJ284">
        <v>0</v>
      </c>
      <c r="NK284">
        <v>0</v>
      </c>
      <c r="NL284">
        <v>0</v>
      </c>
      <c r="NM284">
        <v>0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C284">
        <v>0</v>
      </c>
      <c r="OD284">
        <v>0</v>
      </c>
      <c r="OE284">
        <v>0</v>
      </c>
      <c r="OF284">
        <v>0</v>
      </c>
      <c r="OG284">
        <v>0</v>
      </c>
      <c r="OH284">
        <v>0</v>
      </c>
      <c r="OI284">
        <v>0</v>
      </c>
      <c r="OJ284">
        <v>0</v>
      </c>
      <c r="OK284">
        <v>0</v>
      </c>
      <c r="OL284">
        <v>0</v>
      </c>
      <c r="OM284">
        <v>0</v>
      </c>
      <c r="ON284">
        <v>0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1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</row>
    <row r="285" spans="1:467" hidden="1" x14ac:dyDescent="0.4">
      <c r="A285" t="str">
        <f>"9784163916095"</f>
        <v>9784163916095</v>
      </c>
      <c r="B285" t="str">
        <f>"4163916091"</f>
        <v>4163916091</v>
      </c>
      <c r="C285" t="s">
        <v>2418</v>
      </c>
      <c r="D285" t="s">
        <v>2419</v>
      </c>
      <c r="E285" t="s">
        <v>639</v>
      </c>
      <c r="G285" t="str">
        <f>"0095"</f>
        <v>0095</v>
      </c>
      <c r="H285" t="s">
        <v>481</v>
      </c>
      <c r="I285" t="s">
        <v>1893</v>
      </c>
      <c r="J285" t="s">
        <v>509</v>
      </c>
      <c r="L285" s="1">
        <v>44859</v>
      </c>
      <c r="M285">
        <v>1800</v>
      </c>
      <c r="N285">
        <v>10</v>
      </c>
      <c r="O285">
        <v>8</v>
      </c>
      <c r="P285">
        <v>10</v>
      </c>
      <c r="Q285">
        <v>8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1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1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1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3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1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0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1</v>
      </c>
      <c r="NF285">
        <v>0</v>
      </c>
      <c r="NG285">
        <v>0</v>
      </c>
      <c r="NH285">
        <v>0</v>
      </c>
      <c r="NI285">
        <v>0</v>
      </c>
      <c r="NJ285">
        <v>0</v>
      </c>
      <c r="NK285">
        <v>0</v>
      </c>
      <c r="NL285">
        <v>0</v>
      </c>
      <c r="NM285">
        <v>0</v>
      </c>
      <c r="NN285">
        <v>0</v>
      </c>
      <c r="NO285">
        <v>0</v>
      </c>
      <c r="NP285">
        <v>0</v>
      </c>
      <c r="NQ285">
        <v>0</v>
      </c>
      <c r="NR285">
        <v>0</v>
      </c>
      <c r="NS285">
        <v>0</v>
      </c>
      <c r="NT285">
        <v>0</v>
      </c>
      <c r="NU285">
        <v>0</v>
      </c>
      <c r="NV285">
        <v>0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</v>
      </c>
      <c r="OK285">
        <v>0</v>
      </c>
      <c r="OL285">
        <v>0</v>
      </c>
      <c r="OM285">
        <v>0</v>
      </c>
      <c r="ON285">
        <v>0</v>
      </c>
      <c r="OO285">
        <v>0</v>
      </c>
      <c r="OP285">
        <v>0</v>
      </c>
      <c r="OQ285">
        <v>0</v>
      </c>
      <c r="OR285">
        <v>0</v>
      </c>
      <c r="OS285">
        <v>0</v>
      </c>
      <c r="OT285">
        <v>1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0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0</v>
      </c>
      <c r="PT285">
        <v>0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0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</v>
      </c>
      <c r="QK285">
        <v>0</v>
      </c>
      <c r="QL285">
        <v>0</v>
      </c>
      <c r="QM285">
        <v>0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0</v>
      </c>
      <c r="QU285">
        <v>0</v>
      </c>
      <c r="QV285">
        <v>0</v>
      </c>
      <c r="QW285">
        <v>0</v>
      </c>
      <c r="QX285">
        <v>0</v>
      </c>
      <c r="QY285">
        <v>0</v>
      </c>
    </row>
    <row r="286" spans="1:467" hidden="1" x14ac:dyDescent="0.4">
      <c r="A286" t="str">
        <f>"9784163915753"</f>
        <v>9784163915753</v>
      </c>
      <c r="B286" t="str">
        <f>"4163915753"</f>
        <v>4163915753</v>
      </c>
      <c r="C286" t="s">
        <v>2420</v>
      </c>
      <c r="D286" t="s">
        <v>2421</v>
      </c>
      <c r="E286" t="s">
        <v>639</v>
      </c>
      <c r="G286" t="str">
        <f>"0095"</f>
        <v>0095</v>
      </c>
      <c r="H286" t="s">
        <v>481</v>
      </c>
      <c r="I286" t="s">
        <v>1893</v>
      </c>
      <c r="J286" t="s">
        <v>509</v>
      </c>
      <c r="L286" s="1">
        <v>44768</v>
      </c>
      <c r="M286">
        <v>1600</v>
      </c>
      <c r="N286">
        <v>10</v>
      </c>
      <c r="O286">
        <v>8</v>
      </c>
      <c r="P286">
        <v>10</v>
      </c>
      <c r="Q286">
        <v>8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1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1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3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  <c r="NK286">
        <v>1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1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1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0</v>
      </c>
      <c r="PL286">
        <v>0</v>
      </c>
      <c r="PM286">
        <v>0</v>
      </c>
      <c r="PN286">
        <v>0</v>
      </c>
      <c r="PO286">
        <v>0</v>
      </c>
      <c r="PP286">
        <v>0</v>
      </c>
      <c r="PQ286">
        <v>0</v>
      </c>
      <c r="PR286">
        <v>0</v>
      </c>
      <c r="PS286">
        <v>0</v>
      </c>
      <c r="PT286">
        <v>1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0</v>
      </c>
      <c r="QD286">
        <v>0</v>
      </c>
      <c r="QE286">
        <v>0</v>
      </c>
      <c r="QF286">
        <v>0</v>
      </c>
      <c r="QG286">
        <v>0</v>
      </c>
      <c r="QH286">
        <v>0</v>
      </c>
      <c r="QI286">
        <v>0</v>
      </c>
      <c r="QJ286">
        <v>0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1</v>
      </c>
      <c r="QX286">
        <v>0</v>
      </c>
      <c r="QY286">
        <v>0</v>
      </c>
    </row>
    <row r="287" spans="1:467" x14ac:dyDescent="0.4">
      <c r="A287" t="str">
        <f>"9784065271049"</f>
        <v>9784065271049</v>
      </c>
      <c r="B287" t="str">
        <f>"4065271045"</f>
        <v>4065271045</v>
      </c>
      <c r="C287" t="s">
        <v>2422</v>
      </c>
      <c r="D287" t="s">
        <v>2423</v>
      </c>
      <c r="E287" t="s">
        <v>548</v>
      </c>
      <c r="F287" t="s">
        <v>1947</v>
      </c>
      <c r="G287" t="str">
        <f>"9979"</f>
        <v>9979</v>
      </c>
      <c r="H287" t="s">
        <v>1855</v>
      </c>
      <c r="I287" t="s">
        <v>1856</v>
      </c>
      <c r="J287" t="s">
        <v>1856</v>
      </c>
      <c r="L287" s="1">
        <v>44917</v>
      </c>
      <c r="M287">
        <v>680</v>
      </c>
      <c r="N287">
        <v>10</v>
      </c>
      <c r="O287">
        <v>10</v>
      </c>
      <c r="P287">
        <v>10</v>
      </c>
      <c r="Q287">
        <v>10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1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1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1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1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1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0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1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0</v>
      </c>
      <c r="PH287">
        <v>0</v>
      </c>
      <c r="PI287">
        <v>0</v>
      </c>
      <c r="PJ287">
        <v>0</v>
      </c>
      <c r="PK287">
        <v>0</v>
      </c>
      <c r="PL287">
        <v>0</v>
      </c>
      <c r="PM287">
        <v>0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1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1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1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</row>
    <row r="288" spans="1:467" hidden="1" x14ac:dyDescent="0.4">
      <c r="A288" t="str">
        <f>"9784065273470"</f>
        <v>9784065273470</v>
      </c>
      <c r="B288" t="str">
        <f>"4065273471"</f>
        <v>4065273471</v>
      </c>
      <c r="C288" t="s">
        <v>2424</v>
      </c>
      <c r="D288" t="s">
        <v>2425</v>
      </c>
      <c r="E288" t="s">
        <v>548</v>
      </c>
      <c r="G288" t="str">
        <f>"0093"</f>
        <v>0093</v>
      </c>
      <c r="H288" t="s">
        <v>481</v>
      </c>
      <c r="I288" t="s">
        <v>1893</v>
      </c>
      <c r="J288" t="s">
        <v>488</v>
      </c>
      <c r="L288" s="1">
        <v>44670</v>
      </c>
      <c r="M288">
        <v>1800</v>
      </c>
      <c r="N288">
        <v>10</v>
      </c>
      <c r="O288">
        <v>9</v>
      </c>
      <c r="P288">
        <v>10</v>
      </c>
      <c r="Q288">
        <v>9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1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2</v>
      </c>
      <c r="DZ288">
        <v>0</v>
      </c>
      <c r="EA288">
        <v>1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1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1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</v>
      </c>
      <c r="MY288">
        <v>0</v>
      </c>
      <c r="MZ288">
        <v>0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  <c r="NG288">
        <v>0</v>
      </c>
      <c r="NH288">
        <v>0</v>
      </c>
      <c r="NI288">
        <v>0</v>
      </c>
      <c r="NJ288">
        <v>0</v>
      </c>
      <c r="NK288">
        <v>0</v>
      </c>
      <c r="NL288">
        <v>0</v>
      </c>
      <c r="NM288">
        <v>0</v>
      </c>
      <c r="NN288">
        <v>0</v>
      </c>
      <c r="NO288">
        <v>0</v>
      </c>
      <c r="NP288">
        <v>0</v>
      </c>
      <c r="NQ288">
        <v>0</v>
      </c>
      <c r="NR288">
        <v>0</v>
      </c>
      <c r="NS288">
        <v>0</v>
      </c>
      <c r="NT288">
        <v>0</v>
      </c>
      <c r="NU288">
        <v>0</v>
      </c>
      <c r="NV288">
        <v>0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C288">
        <v>0</v>
      </c>
      <c r="OD288">
        <v>0</v>
      </c>
      <c r="OE288">
        <v>0</v>
      </c>
      <c r="OF288">
        <v>0</v>
      </c>
      <c r="OG288">
        <v>0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</v>
      </c>
      <c r="OV288">
        <v>0</v>
      </c>
      <c r="OW288">
        <v>1</v>
      </c>
      <c r="OX288">
        <v>0</v>
      </c>
      <c r="OY288">
        <v>0</v>
      </c>
      <c r="OZ288">
        <v>0</v>
      </c>
      <c r="PA288">
        <v>0</v>
      </c>
      <c r="PB288">
        <v>0</v>
      </c>
      <c r="PC288">
        <v>0</v>
      </c>
      <c r="PD288">
        <v>0</v>
      </c>
      <c r="PE288">
        <v>0</v>
      </c>
      <c r="PF288">
        <v>0</v>
      </c>
      <c r="PG288">
        <v>0</v>
      </c>
      <c r="PH288">
        <v>0</v>
      </c>
      <c r="PI288">
        <v>0</v>
      </c>
      <c r="PJ288">
        <v>0</v>
      </c>
      <c r="PK288">
        <v>0</v>
      </c>
      <c r="PL288">
        <v>0</v>
      </c>
      <c r="PM288">
        <v>0</v>
      </c>
      <c r="PN288">
        <v>0</v>
      </c>
      <c r="PO288">
        <v>0</v>
      </c>
      <c r="PP288">
        <v>0</v>
      </c>
      <c r="PQ288">
        <v>0</v>
      </c>
      <c r="PR288">
        <v>0</v>
      </c>
      <c r="PS288">
        <v>0</v>
      </c>
      <c r="PT288">
        <v>0</v>
      </c>
      <c r="PU288">
        <v>0</v>
      </c>
      <c r="PV288">
        <v>0</v>
      </c>
      <c r="PW288">
        <v>0</v>
      </c>
      <c r="PX288">
        <v>0</v>
      </c>
      <c r="PY288">
        <v>0</v>
      </c>
      <c r="PZ288">
        <v>0</v>
      </c>
      <c r="QA288">
        <v>0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</row>
    <row r="289" spans="1:467" x14ac:dyDescent="0.4">
      <c r="A289" t="str">
        <f>"9784088825816"</f>
        <v>9784088825816</v>
      </c>
      <c r="B289" t="str">
        <f>"4088825810"</f>
        <v>4088825810</v>
      </c>
      <c r="C289" t="s">
        <v>2426</v>
      </c>
      <c r="D289" t="s">
        <v>1869</v>
      </c>
      <c r="E289" t="s">
        <v>536</v>
      </c>
      <c r="F289" t="s">
        <v>1854</v>
      </c>
      <c r="G289" t="str">
        <f>"9979"</f>
        <v>9979</v>
      </c>
      <c r="H289" t="s">
        <v>1855</v>
      </c>
      <c r="I289" t="s">
        <v>1856</v>
      </c>
      <c r="J289" t="s">
        <v>1856</v>
      </c>
      <c r="L289" s="1">
        <v>44257</v>
      </c>
      <c r="M289">
        <v>440</v>
      </c>
      <c r="N289">
        <v>10</v>
      </c>
      <c r="O289">
        <v>9</v>
      </c>
      <c r="P289">
        <v>10</v>
      </c>
      <c r="Q289">
        <v>9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1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2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1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1</v>
      </c>
      <c r="NA289">
        <v>0</v>
      </c>
      <c r="NB289">
        <v>0</v>
      </c>
      <c r="NC289">
        <v>0</v>
      </c>
      <c r="ND289">
        <v>0</v>
      </c>
      <c r="NE289">
        <v>0</v>
      </c>
      <c r="NF289">
        <v>0</v>
      </c>
      <c r="NG289">
        <v>0</v>
      </c>
      <c r="NH289">
        <v>0</v>
      </c>
      <c r="NI289">
        <v>0</v>
      </c>
      <c r="NJ289">
        <v>0</v>
      </c>
      <c r="NK289">
        <v>0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1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  <c r="PB289">
        <v>0</v>
      </c>
      <c r="PC289">
        <v>0</v>
      </c>
      <c r="PD289">
        <v>0</v>
      </c>
      <c r="PE289">
        <v>0</v>
      </c>
      <c r="PF289">
        <v>0</v>
      </c>
      <c r="PG289">
        <v>0</v>
      </c>
      <c r="PH289">
        <v>0</v>
      </c>
      <c r="PI289">
        <v>0</v>
      </c>
      <c r="PJ289">
        <v>0</v>
      </c>
      <c r="PK289">
        <v>0</v>
      </c>
      <c r="PL289">
        <v>0</v>
      </c>
      <c r="PM289">
        <v>0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</row>
    <row r="290" spans="1:467" x14ac:dyDescent="0.4">
      <c r="A290" t="str">
        <f>"9784065299470"</f>
        <v>9784065299470</v>
      </c>
      <c r="B290" t="str">
        <f>"4065299470"</f>
        <v>4065299470</v>
      </c>
      <c r="C290" t="s">
        <v>2427</v>
      </c>
      <c r="D290" t="s">
        <v>2428</v>
      </c>
      <c r="E290" t="s">
        <v>548</v>
      </c>
      <c r="F290" t="s">
        <v>1862</v>
      </c>
      <c r="G290" t="str">
        <f>"9979"</f>
        <v>9979</v>
      </c>
      <c r="H290" t="s">
        <v>1855</v>
      </c>
      <c r="I290" t="s">
        <v>1856</v>
      </c>
      <c r="J290" t="s">
        <v>1856</v>
      </c>
      <c r="L290" s="1">
        <v>44904</v>
      </c>
      <c r="M290">
        <v>480</v>
      </c>
      <c r="N290">
        <v>10</v>
      </c>
      <c r="O290">
        <v>10</v>
      </c>
      <c r="P290">
        <v>10</v>
      </c>
      <c r="Q290">
        <v>10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1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1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1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1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1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1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1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0</v>
      </c>
      <c r="PL290">
        <v>0</v>
      </c>
      <c r="PM290">
        <v>0</v>
      </c>
      <c r="PN290">
        <v>0</v>
      </c>
      <c r="PO290">
        <v>0</v>
      </c>
      <c r="PP290">
        <v>0</v>
      </c>
      <c r="PQ290">
        <v>0</v>
      </c>
      <c r="PR290">
        <v>0</v>
      </c>
      <c r="PS290">
        <v>0</v>
      </c>
      <c r="PT290">
        <v>0</v>
      </c>
      <c r="PU290">
        <v>0</v>
      </c>
      <c r="PV290">
        <v>0</v>
      </c>
      <c r="PW290">
        <v>0</v>
      </c>
      <c r="PX290">
        <v>0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0</v>
      </c>
      <c r="QK290">
        <v>0</v>
      </c>
      <c r="QL290">
        <v>0</v>
      </c>
      <c r="QM290">
        <v>0</v>
      </c>
      <c r="QN290">
        <v>0</v>
      </c>
      <c r="QO290">
        <v>0</v>
      </c>
      <c r="QP290">
        <v>0</v>
      </c>
      <c r="QQ290">
        <v>0</v>
      </c>
      <c r="QR290">
        <v>0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0</v>
      </c>
      <c r="QY290">
        <v>0</v>
      </c>
    </row>
    <row r="291" spans="1:467" x14ac:dyDescent="0.4">
      <c r="A291" t="str">
        <f>"9784087925371"</f>
        <v>9784087925371</v>
      </c>
      <c r="B291" t="str">
        <f>"4087925374"</f>
        <v>4087925374</v>
      </c>
      <c r="C291" t="s">
        <v>2429</v>
      </c>
      <c r="D291" t="s">
        <v>1909</v>
      </c>
      <c r="E291" t="s">
        <v>536</v>
      </c>
      <c r="F291" t="s">
        <v>1910</v>
      </c>
      <c r="G291" t="str">
        <f>"0979"</f>
        <v>0979</v>
      </c>
      <c r="H291" t="s">
        <v>481</v>
      </c>
      <c r="I291" t="s">
        <v>1856</v>
      </c>
      <c r="J291" t="s">
        <v>1856</v>
      </c>
      <c r="L291" s="1">
        <v>43284</v>
      </c>
      <c r="M291">
        <v>650</v>
      </c>
      <c r="N291">
        <v>10</v>
      </c>
      <c r="O291">
        <v>8</v>
      </c>
      <c r="P291">
        <v>10</v>
      </c>
      <c r="Q291">
        <v>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1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1</v>
      </c>
      <c r="HW291">
        <v>2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2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1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1</v>
      </c>
      <c r="MM291">
        <v>0</v>
      </c>
      <c r="MN291">
        <v>1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0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0</v>
      </c>
      <c r="PN291">
        <v>0</v>
      </c>
      <c r="PO291">
        <v>0</v>
      </c>
      <c r="PP291">
        <v>0</v>
      </c>
      <c r="PQ291">
        <v>0</v>
      </c>
      <c r="PR291">
        <v>0</v>
      </c>
      <c r="PS291">
        <v>0</v>
      </c>
      <c r="PT291">
        <v>0</v>
      </c>
      <c r="PU291">
        <v>0</v>
      </c>
      <c r="PV291">
        <v>0</v>
      </c>
      <c r="PW291">
        <v>1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</row>
    <row r="292" spans="1:467" hidden="1" x14ac:dyDescent="0.4">
      <c r="A292" t="str">
        <f>"9784309030845"</f>
        <v>9784309030845</v>
      </c>
      <c r="B292" t="str">
        <f>"430903084X"</f>
        <v>430903084X</v>
      </c>
      <c r="C292" t="s">
        <v>2430</v>
      </c>
      <c r="D292" t="s">
        <v>2431</v>
      </c>
      <c r="E292" t="s">
        <v>1143</v>
      </c>
      <c r="G292" t="str">
        <f>"0093"</f>
        <v>0093</v>
      </c>
      <c r="H292" t="s">
        <v>481</v>
      </c>
      <c r="I292" t="s">
        <v>1893</v>
      </c>
      <c r="J292" t="s">
        <v>488</v>
      </c>
      <c r="L292" s="1">
        <v>44882</v>
      </c>
      <c r="M292">
        <v>1400</v>
      </c>
      <c r="N292">
        <v>10</v>
      </c>
      <c r="O292">
        <v>9</v>
      </c>
      <c r="P292">
        <v>10</v>
      </c>
      <c r="Q292">
        <v>9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1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1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2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1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1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0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1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1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0</v>
      </c>
      <c r="PT292">
        <v>0</v>
      </c>
      <c r="PU292">
        <v>0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1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</row>
    <row r="293" spans="1:467" hidden="1" x14ac:dyDescent="0.4">
      <c r="A293" t="str">
        <f>"9784309029160"</f>
        <v>9784309029160</v>
      </c>
      <c r="B293" t="str">
        <f>"4309029167"</f>
        <v>4309029167</v>
      </c>
      <c r="C293" t="s">
        <v>2432</v>
      </c>
      <c r="D293" t="s">
        <v>2433</v>
      </c>
      <c r="E293" t="s">
        <v>1143</v>
      </c>
      <c r="G293" t="str">
        <f>"0093"</f>
        <v>0093</v>
      </c>
      <c r="H293" t="s">
        <v>481</v>
      </c>
      <c r="I293" t="s">
        <v>1893</v>
      </c>
      <c r="J293" t="s">
        <v>488</v>
      </c>
      <c r="L293" s="1">
        <v>44084</v>
      </c>
      <c r="M293">
        <v>1400</v>
      </c>
      <c r="N293">
        <v>10</v>
      </c>
      <c r="O293">
        <v>8</v>
      </c>
      <c r="P293">
        <v>10</v>
      </c>
      <c r="Q293">
        <v>8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2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1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2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1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</v>
      </c>
      <c r="NK293">
        <v>0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1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1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0</v>
      </c>
      <c r="OR293">
        <v>0</v>
      </c>
      <c r="OS293">
        <v>0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  <c r="PB293">
        <v>0</v>
      </c>
      <c r="PC293">
        <v>0</v>
      </c>
      <c r="PD293">
        <v>0</v>
      </c>
      <c r="PE293">
        <v>0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0</v>
      </c>
      <c r="PT293">
        <v>0</v>
      </c>
      <c r="PU293">
        <v>0</v>
      </c>
      <c r="PV293">
        <v>0</v>
      </c>
      <c r="PW293">
        <v>0</v>
      </c>
      <c r="PX293">
        <v>0</v>
      </c>
      <c r="PY293">
        <v>0</v>
      </c>
      <c r="PZ293">
        <v>0</v>
      </c>
      <c r="QA293">
        <v>1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1</v>
      </c>
      <c r="QR293">
        <v>0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</row>
    <row r="294" spans="1:467" x14ac:dyDescent="0.4">
      <c r="A294" t="str">
        <f>"9784088824291"</f>
        <v>9784088824291</v>
      </c>
      <c r="B294" t="str">
        <f>"4088824296"</f>
        <v>4088824296</v>
      </c>
      <c r="C294" t="s">
        <v>2434</v>
      </c>
      <c r="D294" t="s">
        <v>1869</v>
      </c>
      <c r="E294" t="s">
        <v>536</v>
      </c>
      <c r="F294" t="s">
        <v>1854</v>
      </c>
      <c r="G294" t="str">
        <f>"9979"</f>
        <v>9979</v>
      </c>
      <c r="H294" t="s">
        <v>1855</v>
      </c>
      <c r="I294" t="s">
        <v>1856</v>
      </c>
      <c r="J294" t="s">
        <v>1856</v>
      </c>
      <c r="L294" s="1">
        <v>44106</v>
      </c>
      <c r="M294">
        <v>440</v>
      </c>
      <c r="N294">
        <v>10</v>
      </c>
      <c r="O294">
        <v>9</v>
      </c>
      <c r="P294">
        <v>10</v>
      </c>
      <c r="Q294">
        <v>9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1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1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1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1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2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1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1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1</v>
      </c>
      <c r="NA294">
        <v>0</v>
      </c>
      <c r="NB294">
        <v>0</v>
      </c>
      <c r="NC294">
        <v>0</v>
      </c>
      <c r="ND294">
        <v>0</v>
      </c>
      <c r="NE294">
        <v>0</v>
      </c>
      <c r="NF294">
        <v>0</v>
      </c>
      <c r="NG294">
        <v>0</v>
      </c>
      <c r="NH294">
        <v>0</v>
      </c>
      <c r="NI294">
        <v>0</v>
      </c>
      <c r="NJ294">
        <v>0</v>
      </c>
      <c r="NK294">
        <v>0</v>
      </c>
      <c r="NL294">
        <v>0</v>
      </c>
      <c r="NM294">
        <v>0</v>
      </c>
      <c r="NN294">
        <v>0</v>
      </c>
      <c r="NO294">
        <v>0</v>
      </c>
      <c r="NP294">
        <v>0</v>
      </c>
      <c r="NQ294">
        <v>0</v>
      </c>
      <c r="NR294">
        <v>0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0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0</v>
      </c>
      <c r="PT294">
        <v>0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0</v>
      </c>
      <c r="QC294">
        <v>0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0</v>
      </c>
    </row>
    <row r="295" spans="1:467" hidden="1" x14ac:dyDescent="0.4">
      <c r="A295" t="str">
        <f>"9784065296820"</f>
        <v>9784065296820</v>
      </c>
      <c r="B295" t="str">
        <f>"406529682X"</f>
        <v>406529682X</v>
      </c>
      <c r="C295" t="s">
        <v>2435</v>
      </c>
      <c r="D295" t="s">
        <v>2352</v>
      </c>
      <c r="E295" t="s">
        <v>548</v>
      </c>
      <c r="G295" t="str">
        <f>"0095"</f>
        <v>0095</v>
      </c>
      <c r="H295" t="s">
        <v>481</v>
      </c>
      <c r="I295" t="s">
        <v>1893</v>
      </c>
      <c r="J295" t="s">
        <v>509</v>
      </c>
      <c r="L295" s="1">
        <v>44951</v>
      </c>
      <c r="M295">
        <v>1600</v>
      </c>
      <c r="N295">
        <v>10</v>
      </c>
      <c r="O295">
        <v>5</v>
      </c>
      <c r="P295">
        <v>10</v>
      </c>
      <c r="Q295">
        <v>5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5</v>
      </c>
      <c r="CI295">
        <v>1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2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1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1</v>
      </c>
      <c r="NF295">
        <v>0</v>
      </c>
      <c r="NG295">
        <v>0</v>
      </c>
      <c r="NH295">
        <v>0</v>
      </c>
      <c r="NI295">
        <v>0</v>
      </c>
      <c r="NJ295">
        <v>0</v>
      </c>
      <c r="NK295">
        <v>0</v>
      </c>
      <c r="NL295">
        <v>0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0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0</v>
      </c>
      <c r="PB295">
        <v>0</v>
      </c>
      <c r="PC295">
        <v>0</v>
      </c>
      <c r="PD295">
        <v>0</v>
      </c>
      <c r="PE295">
        <v>0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0</v>
      </c>
      <c r="PL295">
        <v>0</v>
      </c>
      <c r="PM295">
        <v>0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0</v>
      </c>
      <c r="PT295">
        <v>0</v>
      </c>
      <c r="PU295">
        <v>0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0</v>
      </c>
      <c r="QG295">
        <v>0</v>
      </c>
      <c r="QH295">
        <v>0</v>
      </c>
      <c r="QI295">
        <v>0</v>
      </c>
      <c r="QJ295">
        <v>0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</row>
    <row r="296" spans="1:467" x14ac:dyDescent="0.4">
      <c r="A296" t="str">
        <f>"9784087925357"</f>
        <v>9784087925357</v>
      </c>
      <c r="B296" t="str">
        <f>"4087925358"</f>
        <v>4087925358</v>
      </c>
      <c r="C296" t="s">
        <v>2436</v>
      </c>
      <c r="D296" t="s">
        <v>1909</v>
      </c>
      <c r="E296" t="s">
        <v>536</v>
      </c>
      <c r="F296" t="s">
        <v>1910</v>
      </c>
      <c r="G296" t="str">
        <f>"0979"</f>
        <v>0979</v>
      </c>
      <c r="H296" t="s">
        <v>481</v>
      </c>
      <c r="I296" t="s">
        <v>1856</v>
      </c>
      <c r="J296" t="s">
        <v>1856</v>
      </c>
      <c r="L296" s="1">
        <v>43256</v>
      </c>
      <c r="M296">
        <v>600</v>
      </c>
      <c r="N296">
        <v>10</v>
      </c>
      <c r="O296">
        <v>8</v>
      </c>
      <c r="P296">
        <v>10</v>
      </c>
      <c r="Q296">
        <v>8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1</v>
      </c>
      <c r="HW296">
        <v>2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2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1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1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1</v>
      </c>
      <c r="MM296">
        <v>0</v>
      </c>
      <c r="MN296">
        <v>1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0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0</v>
      </c>
      <c r="NK296">
        <v>0</v>
      </c>
      <c r="NL296">
        <v>0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0</v>
      </c>
      <c r="OD296">
        <v>0</v>
      </c>
      <c r="OE296">
        <v>0</v>
      </c>
      <c r="OF296">
        <v>0</v>
      </c>
      <c r="OG296">
        <v>0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0</v>
      </c>
      <c r="PB296">
        <v>0</v>
      </c>
      <c r="PC296">
        <v>0</v>
      </c>
      <c r="PD296">
        <v>0</v>
      </c>
      <c r="PE296">
        <v>0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0</v>
      </c>
      <c r="PL296">
        <v>0</v>
      </c>
      <c r="PM296">
        <v>0</v>
      </c>
      <c r="PN296">
        <v>0</v>
      </c>
      <c r="PO296">
        <v>0</v>
      </c>
      <c r="PP296">
        <v>0</v>
      </c>
      <c r="PQ296">
        <v>0</v>
      </c>
      <c r="PR296">
        <v>0</v>
      </c>
      <c r="PS296">
        <v>0</v>
      </c>
      <c r="PT296">
        <v>0</v>
      </c>
      <c r="PU296">
        <v>0</v>
      </c>
      <c r="PV296">
        <v>0</v>
      </c>
      <c r="PW296">
        <v>1</v>
      </c>
      <c r="PX296">
        <v>0</v>
      </c>
      <c r="PY296">
        <v>0</v>
      </c>
      <c r="PZ296">
        <v>0</v>
      </c>
      <c r="QA296">
        <v>0</v>
      </c>
      <c r="QB296">
        <v>0</v>
      </c>
      <c r="QC296">
        <v>0</v>
      </c>
      <c r="QD296">
        <v>0</v>
      </c>
      <c r="QE296">
        <v>0</v>
      </c>
      <c r="QF296">
        <v>0</v>
      </c>
      <c r="QG296">
        <v>0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</row>
    <row r="297" spans="1:467" x14ac:dyDescent="0.4">
      <c r="A297" t="str">
        <f>"9784087925456"</f>
        <v>9784087925456</v>
      </c>
      <c r="B297" t="str">
        <f>"4087925455"</f>
        <v>4087925455</v>
      </c>
      <c r="C297" t="s">
        <v>2437</v>
      </c>
      <c r="D297" t="s">
        <v>1909</v>
      </c>
      <c r="E297" t="s">
        <v>536</v>
      </c>
      <c r="F297" t="s">
        <v>1910</v>
      </c>
      <c r="G297" t="str">
        <f>"0979"</f>
        <v>0979</v>
      </c>
      <c r="H297" t="s">
        <v>481</v>
      </c>
      <c r="I297" t="s">
        <v>1856</v>
      </c>
      <c r="J297" t="s">
        <v>1856</v>
      </c>
      <c r="L297" s="1">
        <v>43347</v>
      </c>
      <c r="M297">
        <v>650</v>
      </c>
      <c r="N297">
        <v>10</v>
      </c>
      <c r="O297">
        <v>8</v>
      </c>
      <c r="P297">
        <v>10</v>
      </c>
      <c r="Q297">
        <v>8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1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2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2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1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1</v>
      </c>
      <c r="MM297">
        <v>0</v>
      </c>
      <c r="MN297">
        <v>1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  <c r="NG297">
        <v>0</v>
      </c>
      <c r="NH297">
        <v>0</v>
      </c>
      <c r="NI297">
        <v>0</v>
      </c>
      <c r="NJ297">
        <v>0</v>
      </c>
      <c r="NK297">
        <v>0</v>
      </c>
      <c r="NL297">
        <v>0</v>
      </c>
      <c r="NM297">
        <v>0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0</v>
      </c>
      <c r="PM297">
        <v>0</v>
      </c>
      <c r="PN297">
        <v>0</v>
      </c>
      <c r="PO297">
        <v>0</v>
      </c>
      <c r="PP297">
        <v>0</v>
      </c>
      <c r="PQ297">
        <v>0</v>
      </c>
      <c r="PR297">
        <v>0</v>
      </c>
      <c r="PS297">
        <v>0</v>
      </c>
      <c r="PT297">
        <v>0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1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</row>
    <row r="298" spans="1:467" hidden="1" x14ac:dyDescent="0.4">
      <c r="A298" t="str">
        <f>"9784299037374"</f>
        <v>9784299037374</v>
      </c>
      <c r="B298" t="str">
        <f>"4299037375"</f>
        <v>4299037375</v>
      </c>
      <c r="C298" t="s">
        <v>2438</v>
      </c>
      <c r="D298" t="s">
        <v>2439</v>
      </c>
      <c r="E298" t="s">
        <v>1848</v>
      </c>
      <c r="G298" t="str">
        <f>"0076"</f>
        <v>0076</v>
      </c>
      <c r="H298" t="s">
        <v>481</v>
      </c>
      <c r="I298" t="s">
        <v>1893</v>
      </c>
      <c r="J298" t="s">
        <v>552</v>
      </c>
      <c r="L298" s="1">
        <v>44908</v>
      </c>
      <c r="M298">
        <v>727</v>
      </c>
      <c r="N298">
        <v>10</v>
      </c>
      <c r="O298">
        <v>9</v>
      </c>
      <c r="P298">
        <v>10</v>
      </c>
      <c r="Q298">
        <v>9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1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1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1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1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0</v>
      </c>
      <c r="MS298">
        <v>0</v>
      </c>
      <c r="MT298">
        <v>0</v>
      </c>
      <c r="MU298">
        <v>0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0</v>
      </c>
      <c r="NK298">
        <v>0</v>
      </c>
      <c r="NL298">
        <v>0</v>
      </c>
      <c r="NM298">
        <v>0</v>
      </c>
      <c r="NN298">
        <v>0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0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0</v>
      </c>
      <c r="PB298">
        <v>0</v>
      </c>
      <c r="PC298">
        <v>0</v>
      </c>
      <c r="PD298">
        <v>0</v>
      </c>
      <c r="PE298">
        <v>0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1</v>
      </c>
      <c r="PL298">
        <v>0</v>
      </c>
      <c r="PM298">
        <v>1</v>
      </c>
      <c r="PN298">
        <v>0</v>
      </c>
      <c r="PO298">
        <v>0</v>
      </c>
      <c r="PP298">
        <v>0</v>
      </c>
      <c r="PQ298">
        <v>0</v>
      </c>
      <c r="PR298">
        <v>0</v>
      </c>
      <c r="PS298">
        <v>0</v>
      </c>
      <c r="PT298">
        <v>0</v>
      </c>
      <c r="PU298">
        <v>0</v>
      </c>
      <c r="PV298">
        <v>0</v>
      </c>
      <c r="PW298">
        <v>0</v>
      </c>
      <c r="PX298">
        <v>0</v>
      </c>
      <c r="PY298">
        <v>0</v>
      </c>
      <c r="PZ298">
        <v>0</v>
      </c>
      <c r="QA298">
        <v>0</v>
      </c>
      <c r="QB298">
        <v>0</v>
      </c>
      <c r="QC298">
        <v>1</v>
      </c>
      <c r="QD298">
        <v>0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2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</row>
    <row r="299" spans="1:467" hidden="1" x14ac:dyDescent="0.4">
      <c r="A299" t="str">
        <f>"9784393930403"</f>
        <v>9784393930403</v>
      </c>
      <c r="B299" t="str">
        <f>"4393930401"</f>
        <v>4393930401</v>
      </c>
      <c r="C299" t="s">
        <v>2440</v>
      </c>
      <c r="D299" t="s">
        <v>2441</v>
      </c>
      <c r="E299" t="s">
        <v>2442</v>
      </c>
      <c r="F299" t="s">
        <v>2443</v>
      </c>
      <c r="G299" t="str">
        <f>"0073"</f>
        <v>0073</v>
      </c>
      <c r="H299" t="s">
        <v>481</v>
      </c>
      <c r="I299" t="s">
        <v>1893</v>
      </c>
      <c r="J299" t="s">
        <v>794</v>
      </c>
      <c r="L299" s="1">
        <v>44896</v>
      </c>
      <c r="M299">
        <v>2600</v>
      </c>
      <c r="N299">
        <v>10</v>
      </c>
      <c r="O299">
        <v>7</v>
      </c>
      <c r="P299">
        <v>10</v>
      </c>
      <c r="Q299">
        <v>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1</v>
      </c>
      <c r="CI299">
        <v>2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2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1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1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2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</v>
      </c>
      <c r="MU299">
        <v>0</v>
      </c>
      <c r="MV299">
        <v>1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0</v>
      </c>
      <c r="ON299">
        <v>0</v>
      </c>
      <c r="OO299">
        <v>0</v>
      </c>
      <c r="OP299">
        <v>0</v>
      </c>
      <c r="OQ299">
        <v>0</v>
      </c>
      <c r="OR299">
        <v>0</v>
      </c>
      <c r="OS299">
        <v>0</v>
      </c>
      <c r="OT299">
        <v>0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0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0</v>
      </c>
      <c r="PL299">
        <v>0</v>
      </c>
      <c r="PM299">
        <v>0</v>
      </c>
      <c r="PN299">
        <v>0</v>
      </c>
      <c r="PO299">
        <v>0</v>
      </c>
      <c r="PP299">
        <v>0</v>
      </c>
      <c r="PQ299">
        <v>0</v>
      </c>
      <c r="PR299">
        <v>0</v>
      </c>
      <c r="PS299">
        <v>0</v>
      </c>
      <c r="PT299">
        <v>0</v>
      </c>
      <c r="PU299">
        <v>0</v>
      </c>
      <c r="PV299">
        <v>0</v>
      </c>
      <c r="PW299">
        <v>0</v>
      </c>
      <c r="PX299">
        <v>0</v>
      </c>
      <c r="PY299">
        <v>0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</row>
    <row r="300" spans="1:467" hidden="1" x14ac:dyDescent="0.4">
      <c r="A300" t="str">
        <f>"9784480816832"</f>
        <v>9784480816832</v>
      </c>
      <c r="B300" t="str">
        <f>"4480816836"</f>
        <v>4480816836</v>
      </c>
      <c r="C300" t="s">
        <v>2444</v>
      </c>
      <c r="D300" t="s">
        <v>2445</v>
      </c>
      <c r="E300" t="s">
        <v>501</v>
      </c>
      <c r="G300" t="str">
        <f>"0095"</f>
        <v>0095</v>
      </c>
      <c r="H300" t="s">
        <v>481</v>
      </c>
      <c r="I300" t="s">
        <v>1893</v>
      </c>
      <c r="J300" t="s">
        <v>509</v>
      </c>
      <c r="K300" t="s">
        <v>2446</v>
      </c>
      <c r="L300" s="1">
        <v>44460</v>
      </c>
      <c r="M300">
        <v>4200</v>
      </c>
      <c r="N300">
        <v>10</v>
      </c>
      <c r="O300">
        <v>9</v>
      </c>
      <c r="P300">
        <v>10</v>
      </c>
      <c r="Q300">
        <v>9</v>
      </c>
      <c r="R300">
        <v>0</v>
      </c>
      <c r="S300">
        <v>1</v>
      </c>
      <c r="T300">
        <v>0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1</v>
      </c>
      <c r="CI300">
        <v>1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1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2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1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0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0</v>
      </c>
      <c r="PT300">
        <v>0</v>
      </c>
      <c r="PU300">
        <v>0</v>
      </c>
      <c r="PV300">
        <v>0</v>
      </c>
      <c r="PW300">
        <v>0</v>
      </c>
      <c r="PX300">
        <v>0</v>
      </c>
      <c r="PY300">
        <v>0</v>
      </c>
      <c r="PZ300">
        <v>0</v>
      </c>
      <c r="QA300">
        <v>0</v>
      </c>
      <c r="QB300">
        <v>1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</row>
    <row r="301" spans="1:467" hidden="1" x14ac:dyDescent="0.4">
      <c r="A301" t="str">
        <f>"9784910511313"</f>
        <v>9784910511313</v>
      </c>
      <c r="B301" t="str">
        <f>"4910511318"</f>
        <v>4910511318</v>
      </c>
      <c r="C301" t="s">
        <v>2447</v>
      </c>
      <c r="D301" t="s">
        <v>2448</v>
      </c>
      <c r="E301" t="s">
        <v>2449</v>
      </c>
      <c r="F301" t="s">
        <v>2450</v>
      </c>
      <c r="G301" t="str">
        <f>"0098"</f>
        <v>0098</v>
      </c>
      <c r="H301" t="s">
        <v>481</v>
      </c>
      <c r="I301" t="s">
        <v>1893</v>
      </c>
      <c r="J301" t="s">
        <v>1894</v>
      </c>
      <c r="L301" s="1">
        <v>44897</v>
      </c>
      <c r="M301">
        <v>2500</v>
      </c>
      <c r="N301">
        <v>10</v>
      </c>
      <c r="O301">
        <v>8</v>
      </c>
      <c r="P301">
        <v>10</v>
      </c>
      <c r="Q301">
        <v>8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1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2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1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1</v>
      </c>
      <c r="LX301">
        <v>0</v>
      </c>
      <c r="LY301">
        <v>0</v>
      </c>
      <c r="LZ301">
        <v>0</v>
      </c>
      <c r="MA301">
        <v>0</v>
      </c>
      <c r="MB301">
        <v>2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1</v>
      </c>
      <c r="MM301">
        <v>0</v>
      </c>
      <c r="MN301">
        <v>1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0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0</v>
      </c>
      <c r="OR301">
        <v>0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1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</row>
    <row r="302" spans="1:467" hidden="1" x14ac:dyDescent="0.4">
      <c r="A302" t="str">
        <f>"9784831877581"</f>
        <v>9784831877581</v>
      </c>
      <c r="B302" t="str">
        <f>"4831877581"</f>
        <v>4831877581</v>
      </c>
      <c r="C302" t="s">
        <v>2451</v>
      </c>
      <c r="D302" t="s">
        <v>2452</v>
      </c>
      <c r="E302" t="s">
        <v>1125</v>
      </c>
      <c r="G302" t="str">
        <f>"0098"</f>
        <v>0098</v>
      </c>
      <c r="H302" t="s">
        <v>481</v>
      </c>
      <c r="I302" t="s">
        <v>1893</v>
      </c>
      <c r="J302" t="s">
        <v>1894</v>
      </c>
      <c r="L302" s="1">
        <v>44830</v>
      </c>
      <c r="M302">
        <v>1800</v>
      </c>
      <c r="N302">
        <v>10</v>
      </c>
      <c r="O302">
        <v>7</v>
      </c>
      <c r="P302">
        <v>10</v>
      </c>
      <c r="Q302">
        <v>7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1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2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1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3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1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1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1</v>
      </c>
      <c r="OY302">
        <v>0</v>
      </c>
      <c r="OZ302">
        <v>0</v>
      </c>
      <c r="PA302">
        <v>0</v>
      </c>
      <c r="PB302">
        <v>0</v>
      </c>
      <c r="PC302">
        <v>0</v>
      </c>
      <c r="PD302">
        <v>0</v>
      </c>
      <c r="PE302">
        <v>0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0</v>
      </c>
      <c r="PL302">
        <v>0</v>
      </c>
      <c r="PM302">
        <v>0</v>
      </c>
      <c r="PN302">
        <v>0</v>
      </c>
      <c r="PO302">
        <v>0</v>
      </c>
      <c r="PP302">
        <v>0</v>
      </c>
      <c r="PQ302">
        <v>0</v>
      </c>
      <c r="PR302">
        <v>0</v>
      </c>
      <c r="PS302">
        <v>0</v>
      </c>
      <c r="PT302">
        <v>0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</row>
    <row r="303" spans="1:467" hidden="1" x14ac:dyDescent="0.4">
      <c r="A303" t="str">
        <f>"9784622095859"</f>
        <v>9784622095859</v>
      </c>
      <c r="B303" t="str">
        <f>"4622095858"</f>
        <v>4622095858</v>
      </c>
      <c r="C303" t="s">
        <v>2453</v>
      </c>
      <c r="D303" t="s">
        <v>2454</v>
      </c>
      <c r="E303" t="s">
        <v>2455</v>
      </c>
      <c r="G303" t="str">
        <f>"0098"</f>
        <v>0098</v>
      </c>
      <c r="H303" t="s">
        <v>481</v>
      </c>
      <c r="I303" t="s">
        <v>1893</v>
      </c>
      <c r="J303" t="s">
        <v>1894</v>
      </c>
      <c r="L303" s="1">
        <v>44933</v>
      </c>
      <c r="M303">
        <v>7000</v>
      </c>
      <c r="N303">
        <v>10</v>
      </c>
      <c r="O303">
        <v>10</v>
      </c>
      <c r="P303">
        <v>10</v>
      </c>
      <c r="Q303">
        <v>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1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1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1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1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1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1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1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1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1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0</v>
      </c>
      <c r="NJ303">
        <v>0</v>
      </c>
      <c r="NK303">
        <v>0</v>
      </c>
      <c r="NL303">
        <v>0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1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</row>
    <row r="304" spans="1:467" x14ac:dyDescent="0.4">
      <c r="A304" t="str">
        <f>"9784098512553"</f>
        <v>9784098512553</v>
      </c>
      <c r="B304" t="str">
        <f>"4098512556"</f>
        <v>4098512556</v>
      </c>
      <c r="C304" t="s">
        <v>2456</v>
      </c>
      <c r="D304" t="s">
        <v>2457</v>
      </c>
      <c r="E304" t="s">
        <v>1069</v>
      </c>
      <c r="F304" t="s">
        <v>1881</v>
      </c>
      <c r="G304" t="str">
        <f>"9979"</f>
        <v>9979</v>
      </c>
      <c r="H304" t="s">
        <v>1855</v>
      </c>
      <c r="I304" t="s">
        <v>1856</v>
      </c>
      <c r="J304" t="s">
        <v>1856</v>
      </c>
      <c r="L304" s="1">
        <v>44817</v>
      </c>
      <c r="M304">
        <v>500</v>
      </c>
      <c r="N304">
        <v>10</v>
      </c>
      <c r="O304">
        <v>8</v>
      </c>
      <c r="P304">
        <v>10</v>
      </c>
      <c r="Q304">
        <v>8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1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1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2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2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1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1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C304">
        <v>0</v>
      </c>
      <c r="OD304">
        <v>0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0</v>
      </c>
      <c r="PL304">
        <v>0</v>
      </c>
      <c r="PM304">
        <v>0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0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</row>
    <row r="305" spans="1:467" x14ac:dyDescent="0.4">
      <c r="A305" t="str">
        <f>"9784088832647"</f>
        <v>9784088832647</v>
      </c>
      <c r="B305" t="str">
        <f>"4088832647"</f>
        <v>4088832647</v>
      </c>
      <c r="C305" t="s">
        <v>2458</v>
      </c>
      <c r="D305" t="s">
        <v>2459</v>
      </c>
      <c r="E305" t="s">
        <v>536</v>
      </c>
      <c r="F305" t="s">
        <v>1971</v>
      </c>
      <c r="G305" t="str">
        <f>"9979"</f>
        <v>9979</v>
      </c>
      <c r="H305" t="s">
        <v>1855</v>
      </c>
      <c r="I305" t="s">
        <v>1856</v>
      </c>
      <c r="J305" t="s">
        <v>1856</v>
      </c>
      <c r="L305" s="1">
        <v>44869</v>
      </c>
      <c r="M305">
        <v>540</v>
      </c>
      <c r="N305">
        <v>10</v>
      </c>
      <c r="O305">
        <v>8</v>
      </c>
      <c r="P305">
        <v>10</v>
      </c>
      <c r="Q305">
        <v>8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2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2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1</v>
      </c>
      <c r="DX305">
        <v>1</v>
      </c>
      <c r="DY305">
        <v>1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1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1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1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</row>
    <row r="306" spans="1:467" hidden="1" x14ac:dyDescent="0.4">
      <c r="A306" t="str">
        <f>"9784533150258"</f>
        <v>9784533150258</v>
      </c>
      <c r="B306" t="str">
        <f>"453315025X"</f>
        <v>453315025X</v>
      </c>
      <c r="C306" t="s">
        <v>2460</v>
      </c>
      <c r="E306" t="s">
        <v>2312</v>
      </c>
      <c r="F306" t="s">
        <v>2313</v>
      </c>
      <c r="G306" t="str">
        <f>"9426"</f>
        <v>9426</v>
      </c>
      <c r="H306" t="s">
        <v>1855</v>
      </c>
      <c r="I306" t="s">
        <v>1884</v>
      </c>
      <c r="J306" t="s">
        <v>2110</v>
      </c>
      <c r="L306" s="1">
        <v>44748</v>
      </c>
      <c r="M306">
        <v>980</v>
      </c>
      <c r="N306">
        <v>10</v>
      </c>
      <c r="O306">
        <v>9</v>
      </c>
      <c r="P306">
        <v>10</v>
      </c>
      <c r="Q306">
        <v>9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1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1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1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2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1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1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1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1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0</v>
      </c>
      <c r="PA306">
        <v>0</v>
      </c>
      <c r="PB306">
        <v>0</v>
      </c>
      <c r="PC306">
        <v>0</v>
      </c>
      <c r="PD306">
        <v>0</v>
      </c>
      <c r="PE306">
        <v>0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0</v>
      </c>
      <c r="PL306">
        <v>0</v>
      </c>
      <c r="PM306">
        <v>0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</row>
    <row r="307" spans="1:467" x14ac:dyDescent="0.4">
      <c r="A307" t="str">
        <f>"9784087925395"</f>
        <v>9784087925395</v>
      </c>
      <c r="B307" t="str">
        <f>"4087925390"</f>
        <v>4087925390</v>
      </c>
      <c r="C307" t="s">
        <v>2461</v>
      </c>
      <c r="D307" t="s">
        <v>1909</v>
      </c>
      <c r="E307" t="s">
        <v>536</v>
      </c>
      <c r="F307" t="s">
        <v>1910</v>
      </c>
      <c r="G307" t="str">
        <f>"0979"</f>
        <v>0979</v>
      </c>
      <c r="H307" t="s">
        <v>481</v>
      </c>
      <c r="I307" t="s">
        <v>1856</v>
      </c>
      <c r="J307" t="s">
        <v>1856</v>
      </c>
      <c r="L307" s="1">
        <v>43284</v>
      </c>
      <c r="M307">
        <v>650</v>
      </c>
      <c r="N307">
        <v>10</v>
      </c>
      <c r="O307">
        <v>8</v>
      </c>
      <c r="P307">
        <v>10</v>
      </c>
      <c r="Q307">
        <v>8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1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1</v>
      </c>
      <c r="HW307">
        <v>2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2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1</v>
      </c>
      <c r="JQ307">
        <v>0</v>
      </c>
      <c r="JR307">
        <v>1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1</v>
      </c>
      <c r="MM307">
        <v>0</v>
      </c>
      <c r="MN307">
        <v>1</v>
      </c>
      <c r="MO307">
        <v>0</v>
      </c>
      <c r="MP307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0</v>
      </c>
      <c r="OY307">
        <v>0</v>
      </c>
      <c r="OZ307">
        <v>0</v>
      </c>
      <c r="PA307">
        <v>0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</v>
      </c>
      <c r="QC307">
        <v>0</v>
      </c>
      <c r="QD307">
        <v>0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</row>
    <row r="308" spans="1:467" hidden="1" x14ac:dyDescent="0.4">
      <c r="A308" t="str">
        <f>"9784305709714"</f>
        <v>9784305709714</v>
      </c>
      <c r="B308" t="str">
        <f>"4305709716"</f>
        <v>4305709716</v>
      </c>
      <c r="C308" t="s">
        <v>2462</v>
      </c>
      <c r="D308" t="s">
        <v>2463</v>
      </c>
      <c r="E308" t="s">
        <v>2331</v>
      </c>
      <c r="G308" t="str">
        <f>"0091"</f>
        <v>0091</v>
      </c>
      <c r="H308" t="s">
        <v>481</v>
      </c>
      <c r="I308" t="s">
        <v>1893</v>
      </c>
      <c r="J308" t="s">
        <v>558</v>
      </c>
      <c r="L308" s="1">
        <v>44859</v>
      </c>
      <c r="M308">
        <v>1900</v>
      </c>
      <c r="N308">
        <v>10</v>
      </c>
      <c r="O308">
        <v>8</v>
      </c>
      <c r="P308">
        <v>10</v>
      </c>
      <c r="Q308">
        <v>8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1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1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3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1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1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1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1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1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0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0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</row>
    <row r="309" spans="1:467" hidden="1" x14ac:dyDescent="0.4">
      <c r="A309" t="str">
        <f>"9784750517544"</f>
        <v>9784750517544</v>
      </c>
      <c r="B309" t="str">
        <f>"4750517542"</f>
        <v>4750517542</v>
      </c>
      <c r="C309" t="s">
        <v>2464</v>
      </c>
      <c r="D309" t="s">
        <v>2465</v>
      </c>
      <c r="E309" t="s">
        <v>2466</v>
      </c>
      <c r="G309" t="str">
        <f>"0095"</f>
        <v>0095</v>
      </c>
      <c r="H309" t="s">
        <v>481</v>
      </c>
      <c r="I309" t="s">
        <v>1893</v>
      </c>
      <c r="J309" t="s">
        <v>509</v>
      </c>
      <c r="L309" s="1">
        <v>44785</v>
      </c>
      <c r="M309">
        <v>1600</v>
      </c>
      <c r="N309">
        <v>9</v>
      </c>
      <c r="O309">
        <v>8</v>
      </c>
      <c r="P309">
        <v>9</v>
      </c>
      <c r="Q309">
        <v>8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1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1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2</v>
      </c>
      <c r="IO309">
        <v>0</v>
      </c>
      <c r="IP309">
        <v>0</v>
      </c>
      <c r="IQ309">
        <v>0</v>
      </c>
      <c r="IR309">
        <v>1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1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1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0</v>
      </c>
      <c r="NT309">
        <v>0</v>
      </c>
      <c r="NU309">
        <v>0</v>
      </c>
      <c r="NV309">
        <v>0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C309">
        <v>0</v>
      </c>
      <c r="OD309">
        <v>1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</row>
    <row r="310" spans="1:467" x14ac:dyDescent="0.4">
      <c r="A310" t="str">
        <f>"9784757583511"</f>
        <v>9784757583511</v>
      </c>
      <c r="B310" t="str">
        <f>"4757583516"</f>
        <v>4757583516</v>
      </c>
      <c r="C310" t="s">
        <v>2467</v>
      </c>
      <c r="D310" t="s">
        <v>2468</v>
      </c>
      <c r="E310" t="s">
        <v>2047</v>
      </c>
      <c r="F310" t="s">
        <v>2469</v>
      </c>
      <c r="G310" t="str">
        <f>"9979"</f>
        <v>9979</v>
      </c>
      <c r="H310" t="s">
        <v>1855</v>
      </c>
      <c r="I310" t="s">
        <v>1856</v>
      </c>
      <c r="J310" t="s">
        <v>1856</v>
      </c>
      <c r="L310" s="1">
        <v>44946</v>
      </c>
      <c r="M310">
        <v>664</v>
      </c>
      <c r="N310">
        <v>9</v>
      </c>
      <c r="O310">
        <v>6</v>
      </c>
      <c r="P310">
        <v>9</v>
      </c>
      <c r="Q310">
        <v>6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2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1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1</v>
      </c>
      <c r="HV310">
        <v>0</v>
      </c>
      <c r="HW310">
        <v>0</v>
      </c>
      <c r="HX310">
        <v>0</v>
      </c>
      <c r="HY310">
        <v>1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1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3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0</v>
      </c>
      <c r="PM310">
        <v>0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</row>
    <row r="311" spans="1:467" x14ac:dyDescent="0.4">
      <c r="A311" t="str">
        <f>"9784041129609"</f>
        <v>9784041129609</v>
      </c>
      <c r="B311" t="str">
        <f>"4041129605"</f>
        <v>4041129605</v>
      </c>
      <c r="C311" t="s">
        <v>2470</v>
      </c>
      <c r="D311" t="s">
        <v>2471</v>
      </c>
      <c r="E311" t="s">
        <v>597</v>
      </c>
      <c r="F311" t="s">
        <v>1907</v>
      </c>
      <c r="G311" t="str">
        <f>"0979"</f>
        <v>0979</v>
      </c>
      <c r="H311" t="s">
        <v>481</v>
      </c>
      <c r="I311" t="s">
        <v>1856</v>
      </c>
      <c r="J311" t="s">
        <v>1856</v>
      </c>
      <c r="L311" s="1">
        <v>44837</v>
      </c>
      <c r="M311">
        <v>640</v>
      </c>
      <c r="N311">
        <v>9</v>
      </c>
      <c r="O311">
        <v>6</v>
      </c>
      <c r="P311">
        <v>9</v>
      </c>
      <c r="Q311">
        <v>6</v>
      </c>
      <c r="R311">
        <v>0</v>
      </c>
      <c r="S311">
        <v>0</v>
      </c>
      <c r="T311">
        <v>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2</v>
      </c>
      <c r="CI311">
        <v>1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2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1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1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</row>
    <row r="312" spans="1:467" x14ac:dyDescent="0.4">
      <c r="A312" t="str">
        <f>"9784088816401"</f>
        <v>9784088816401</v>
      </c>
      <c r="B312" t="str">
        <f>"4088816404"</f>
        <v>4088816404</v>
      </c>
      <c r="C312" t="s">
        <v>2472</v>
      </c>
      <c r="D312" t="s">
        <v>2042</v>
      </c>
      <c r="E312" t="s">
        <v>536</v>
      </c>
      <c r="F312" t="s">
        <v>1854</v>
      </c>
      <c r="G312" t="str">
        <f>"9979"</f>
        <v>9979</v>
      </c>
      <c r="H312" t="s">
        <v>1855</v>
      </c>
      <c r="I312" t="s">
        <v>1856</v>
      </c>
      <c r="J312" t="s">
        <v>1856</v>
      </c>
      <c r="L312" s="1">
        <v>43375</v>
      </c>
      <c r="M312">
        <v>440</v>
      </c>
      <c r="N312">
        <v>9</v>
      </c>
      <c r="O312">
        <v>6</v>
      </c>
      <c r="P312">
        <v>9</v>
      </c>
      <c r="Q312">
        <v>6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2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2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1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2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1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1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0</v>
      </c>
      <c r="NJ312">
        <v>0</v>
      </c>
      <c r="NK312">
        <v>0</v>
      </c>
      <c r="NL312">
        <v>0</v>
      </c>
      <c r="NM312">
        <v>0</v>
      </c>
      <c r="NN312">
        <v>0</v>
      </c>
      <c r="NO312">
        <v>0</v>
      </c>
      <c r="NP312">
        <v>0</v>
      </c>
      <c r="NQ312">
        <v>0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</row>
    <row r="313" spans="1:467" hidden="1" x14ac:dyDescent="0.4">
      <c r="A313" t="str">
        <f>"9784479797739"</f>
        <v>9784479797739</v>
      </c>
      <c r="B313" t="str">
        <f>"4479797734"</f>
        <v>4479797734</v>
      </c>
      <c r="C313" t="s">
        <v>2473</v>
      </c>
      <c r="D313" t="s">
        <v>2474</v>
      </c>
      <c r="E313" t="s">
        <v>1061</v>
      </c>
      <c r="G313" t="str">
        <f>"0095"</f>
        <v>0095</v>
      </c>
      <c r="H313" t="s">
        <v>481</v>
      </c>
      <c r="I313" t="s">
        <v>1893</v>
      </c>
      <c r="J313" t="s">
        <v>509</v>
      </c>
      <c r="L313" s="1">
        <v>44937</v>
      </c>
      <c r="M313">
        <v>1600</v>
      </c>
      <c r="N313">
        <v>9</v>
      </c>
      <c r="O313">
        <v>8</v>
      </c>
      <c r="P313">
        <v>9</v>
      </c>
      <c r="Q313">
        <v>8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1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1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2</v>
      </c>
      <c r="IR313">
        <v>0</v>
      </c>
      <c r="IS313">
        <v>0</v>
      </c>
      <c r="IT313">
        <v>0</v>
      </c>
      <c r="IU313">
        <v>0</v>
      </c>
      <c r="IV313">
        <v>1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0</v>
      </c>
      <c r="NN313">
        <v>0</v>
      </c>
      <c r="NO313">
        <v>0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1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1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0</v>
      </c>
      <c r="OU313">
        <v>0</v>
      </c>
      <c r="OV313">
        <v>0</v>
      </c>
      <c r="OW313">
        <v>0</v>
      </c>
      <c r="OX313">
        <v>1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</v>
      </c>
      <c r="PQ313">
        <v>0</v>
      </c>
      <c r="PR313">
        <v>0</v>
      </c>
      <c r="PS313">
        <v>0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0</v>
      </c>
      <c r="QV313">
        <v>0</v>
      </c>
      <c r="QW313">
        <v>0</v>
      </c>
      <c r="QX313">
        <v>0</v>
      </c>
      <c r="QY313">
        <v>0</v>
      </c>
    </row>
    <row r="314" spans="1:467" hidden="1" x14ac:dyDescent="0.4">
      <c r="A314" t="str">
        <f>"9784781620930"</f>
        <v>9784781620930</v>
      </c>
      <c r="B314" t="str">
        <f>"4781620930"</f>
        <v>4781620930</v>
      </c>
      <c r="C314" t="s">
        <v>2475</v>
      </c>
      <c r="D314" t="s">
        <v>2476</v>
      </c>
      <c r="E314" t="s">
        <v>2477</v>
      </c>
      <c r="G314" t="str">
        <f>"0095"</f>
        <v>0095</v>
      </c>
      <c r="H314" t="s">
        <v>481</v>
      </c>
      <c r="I314" t="s">
        <v>1893</v>
      </c>
      <c r="J314" t="s">
        <v>509</v>
      </c>
      <c r="L314" s="1">
        <v>44754</v>
      </c>
      <c r="M314">
        <v>1500</v>
      </c>
      <c r="N314">
        <v>9</v>
      </c>
      <c r="O314">
        <v>8</v>
      </c>
      <c r="P314">
        <v>9</v>
      </c>
      <c r="Q314">
        <v>8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1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1</v>
      </c>
      <c r="BN314">
        <v>0</v>
      </c>
      <c r="BO314">
        <v>0</v>
      </c>
      <c r="BP314">
        <v>0</v>
      </c>
      <c r="BQ314">
        <v>0</v>
      </c>
      <c r="BR314">
        <v>1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1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1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2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1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  <c r="NK314">
        <v>0</v>
      </c>
      <c r="NL314">
        <v>0</v>
      </c>
      <c r="NM314">
        <v>0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0</v>
      </c>
      <c r="NU314">
        <v>0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0</v>
      </c>
      <c r="OX314">
        <v>0</v>
      </c>
      <c r="OY314">
        <v>0</v>
      </c>
      <c r="OZ314">
        <v>0</v>
      </c>
      <c r="PA314">
        <v>0</v>
      </c>
      <c r="PB314">
        <v>0</v>
      </c>
      <c r="PC314">
        <v>0</v>
      </c>
      <c r="PD314">
        <v>0</v>
      </c>
      <c r="PE314">
        <v>0</v>
      </c>
      <c r="PF314">
        <v>0</v>
      </c>
      <c r="PG314">
        <v>0</v>
      </c>
      <c r="PH314">
        <v>0</v>
      </c>
      <c r="PI314">
        <v>1</v>
      </c>
      <c r="PJ314">
        <v>0</v>
      </c>
      <c r="PK314">
        <v>0</v>
      </c>
      <c r="PL314">
        <v>0</v>
      </c>
      <c r="PM314">
        <v>0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0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</row>
    <row r="315" spans="1:467" hidden="1" x14ac:dyDescent="0.4">
      <c r="A315" t="str">
        <f>"9784418202201"</f>
        <v>9784418202201</v>
      </c>
      <c r="B315" t="str">
        <f>"441820220X"</f>
        <v>441820220X</v>
      </c>
      <c r="C315" t="s">
        <v>2478</v>
      </c>
      <c r="D315" t="s">
        <v>2479</v>
      </c>
      <c r="E315" t="s">
        <v>2480</v>
      </c>
      <c r="F315" t="s">
        <v>2481</v>
      </c>
      <c r="G315" t="str">
        <f>"1071"</f>
        <v>1071</v>
      </c>
      <c r="H315" t="s">
        <v>541</v>
      </c>
      <c r="I315" t="s">
        <v>1893</v>
      </c>
      <c r="J315" t="s">
        <v>1437</v>
      </c>
      <c r="L315" s="1">
        <v>44223</v>
      </c>
      <c r="M315">
        <v>1600</v>
      </c>
      <c r="N315">
        <v>9</v>
      </c>
      <c r="O315">
        <v>8</v>
      </c>
      <c r="P315">
        <v>9</v>
      </c>
      <c r="Q315">
        <v>8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1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1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2</v>
      </c>
      <c r="FM315">
        <v>0</v>
      </c>
      <c r="FN315">
        <v>0</v>
      </c>
      <c r="FO315">
        <v>1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1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1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1</v>
      </c>
      <c r="NS315">
        <v>0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</v>
      </c>
      <c r="OT315">
        <v>1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0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</row>
    <row r="316" spans="1:467" hidden="1" x14ac:dyDescent="0.4">
      <c r="A316" t="str">
        <f>"9784163913926"</f>
        <v>9784163913926</v>
      </c>
      <c r="B316" t="str">
        <f>"4163913920"</f>
        <v>4163913920</v>
      </c>
      <c r="C316" t="s">
        <v>2482</v>
      </c>
      <c r="D316" t="s">
        <v>843</v>
      </c>
      <c r="E316" t="s">
        <v>639</v>
      </c>
      <c r="G316" t="str">
        <f>"0095"</f>
        <v>0095</v>
      </c>
      <c r="H316" t="s">
        <v>481</v>
      </c>
      <c r="I316" t="s">
        <v>1893</v>
      </c>
      <c r="J316" t="s">
        <v>509</v>
      </c>
      <c r="L316" s="1">
        <v>44371</v>
      </c>
      <c r="M316">
        <v>1450</v>
      </c>
      <c r="N316">
        <v>9</v>
      </c>
      <c r="O316">
        <v>8</v>
      </c>
      <c r="P316">
        <v>9</v>
      </c>
      <c r="Q316">
        <v>8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1</v>
      </c>
      <c r="BH316">
        <v>0</v>
      </c>
      <c r="BI316">
        <v>0</v>
      </c>
      <c r="BJ316">
        <v>0</v>
      </c>
      <c r="BK316">
        <v>0</v>
      </c>
      <c r="BL316">
        <v>1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1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1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1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1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2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1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0</v>
      </c>
      <c r="NK316">
        <v>0</v>
      </c>
      <c r="NL316">
        <v>0</v>
      </c>
      <c r="NM316">
        <v>0</v>
      </c>
      <c r="NN316">
        <v>0</v>
      </c>
      <c r="NO316">
        <v>0</v>
      </c>
      <c r="NP316">
        <v>0</v>
      </c>
      <c r="NQ316">
        <v>0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0</v>
      </c>
      <c r="PL316">
        <v>0</v>
      </c>
      <c r="PM316">
        <v>0</v>
      </c>
      <c r="PN316">
        <v>0</v>
      </c>
      <c r="PO316">
        <v>0</v>
      </c>
      <c r="PP316">
        <v>0</v>
      </c>
      <c r="PQ316">
        <v>0</v>
      </c>
      <c r="PR316">
        <v>0</v>
      </c>
      <c r="PS316">
        <v>0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</row>
    <row r="317" spans="1:467" x14ac:dyDescent="0.4">
      <c r="A317" t="str">
        <f>"9784087925463"</f>
        <v>9784087925463</v>
      </c>
      <c r="B317" t="str">
        <f>"4087925463"</f>
        <v>4087925463</v>
      </c>
      <c r="C317" t="s">
        <v>2483</v>
      </c>
      <c r="D317" t="s">
        <v>1909</v>
      </c>
      <c r="E317" t="s">
        <v>536</v>
      </c>
      <c r="F317" t="s">
        <v>1910</v>
      </c>
      <c r="G317" t="str">
        <f>"0979"</f>
        <v>0979</v>
      </c>
      <c r="H317" t="s">
        <v>481</v>
      </c>
      <c r="I317" t="s">
        <v>1856</v>
      </c>
      <c r="J317" t="s">
        <v>1856</v>
      </c>
      <c r="L317" s="1">
        <v>43347</v>
      </c>
      <c r="M317">
        <v>600</v>
      </c>
      <c r="N317">
        <v>9</v>
      </c>
      <c r="O317">
        <v>8</v>
      </c>
      <c r="P317">
        <v>9</v>
      </c>
      <c r="Q317">
        <v>8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1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1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2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1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1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1</v>
      </c>
      <c r="MM317">
        <v>0</v>
      </c>
      <c r="MN317">
        <v>1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1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</row>
    <row r="318" spans="1:467" hidden="1" x14ac:dyDescent="0.4">
      <c r="A318" t="str">
        <f>"9784065260777"</f>
        <v>9784065260777</v>
      </c>
      <c r="B318" t="str">
        <f>"4065260779"</f>
        <v>4065260779</v>
      </c>
      <c r="C318" t="s">
        <v>2484</v>
      </c>
      <c r="D318" t="s">
        <v>2485</v>
      </c>
      <c r="E318" t="s">
        <v>548</v>
      </c>
      <c r="G318" t="str">
        <f>"0095"</f>
        <v>0095</v>
      </c>
      <c r="H318" t="s">
        <v>481</v>
      </c>
      <c r="I318" t="s">
        <v>1893</v>
      </c>
      <c r="J318" t="s">
        <v>509</v>
      </c>
      <c r="L318" s="1">
        <v>44677</v>
      </c>
      <c r="M318">
        <v>1600</v>
      </c>
      <c r="N318">
        <v>9</v>
      </c>
      <c r="O318">
        <v>9</v>
      </c>
      <c r="P318">
        <v>9</v>
      </c>
      <c r="Q318">
        <v>9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1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1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1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1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1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1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1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  <c r="NK318">
        <v>0</v>
      </c>
      <c r="NL318">
        <v>0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0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1</v>
      </c>
      <c r="NZ318">
        <v>0</v>
      </c>
      <c r="OA318">
        <v>0</v>
      </c>
      <c r="OB318">
        <v>0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</v>
      </c>
      <c r="PQ318">
        <v>0</v>
      </c>
      <c r="PR318">
        <v>0</v>
      </c>
      <c r="PS318">
        <v>0</v>
      </c>
      <c r="PT318">
        <v>0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</row>
    <row r="319" spans="1:467" x14ac:dyDescent="0.4">
      <c r="A319" t="str">
        <f>"9784088831206"</f>
        <v>9784088831206</v>
      </c>
      <c r="B319" t="str">
        <f>"4088831209"</f>
        <v>4088831209</v>
      </c>
      <c r="C319" t="s">
        <v>2486</v>
      </c>
      <c r="D319" t="s">
        <v>1973</v>
      </c>
      <c r="E319" t="s">
        <v>536</v>
      </c>
      <c r="F319" t="s">
        <v>1854</v>
      </c>
      <c r="G319" t="str">
        <f>"9979"</f>
        <v>9979</v>
      </c>
      <c r="H319" t="s">
        <v>1855</v>
      </c>
      <c r="I319" t="s">
        <v>1856</v>
      </c>
      <c r="J319" t="s">
        <v>1856</v>
      </c>
      <c r="L319" s="1">
        <v>44652</v>
      </c>
      <c r="M319">
        <v>440</v>
      </c>
      <c r="N319">
        <v>9</v>
      </c>
      <c r="O319">
        <v>7</v>
      </c>
      <c r="P319">
        <v>9</v>
      </c>
      <c r="Q319">
        <v>7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</v>
      </c>
      <c r="AL319">
        <v>1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1</v>
      </c>
      <c r="CI319">
        <v>1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1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2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2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</v>
      </c>
      <c r="NN319">
        <v>0</v>
      </c>
      <c r="NO319">
        <v>0</v>
      </c>
      <c r="NP319">
        <v>0</v>
      </c>
      <c r="NQ319">
        <v>0</v>
      </c>
      <c r="NR319">
        <v>0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0</v>
      </c>
      <c r="PC319">
        <v>0</v>
      </c>
      <c r="PD319">
        <v>0</v>
      </c>
      <c r="PE319">
        <v>0</v>
      </c>
      <c r="PF319">
        <v>0</v>
      </c>
      <c r="PG319">
        <v>0</v>
      </c>
      <c r="PH319">
        <v>0</v>
      </c>
      <c r="PI319">
        <v>0</v>
      </c>
      <c r="PJ319">
        <v>0</v>
      </c>
      <c r="PK319">
        <v>0</v>
      </c>
      <c r="PL319">
        <v>0</v>
      </c>
      <c r="PM319">
        <v>0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0</v>
      </c>
      <c r="PT319">
        <v>0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</v>
      </c>
      <c r="QC319">
        <v>0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0</v>
      </c>
      <c r="QJ319">
        <v>0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</row>
    <row r="320" spans="1:467" x14ac:dyDescent="0.4">
      <c r="A320" t="str">
        <f>"9784088833361"</f>
        <v>9784088833361</v>
      </c>
      <c r="B320" t="str">
        <f>"4088833368"</f>
        <v>4088833368</v>
      </c>
      <c r="C320" t="s">
        <v>2487</v>
      </c>
      <c r="D320" t="s">
        <v>2488</v>
      </c>
      <c r="E320" t="s">
        <v>536</v>
      </c>
      <c r="F320" t="s">
        <v>1854</v>
      </c>
      <c r="G320" t="str">
        <f>"9979"</f>
        <v>9979</v>
      </c>
      <c r="H320" t="s">
        <v>1855</v>
      </c>
      <c r="I320" t="s">
        <v>1856</v>
      </c>
      <c r="J320" t="s">
        <v>1856</v>
      </c>
      <c r="L320" s="1">
        <v>44869</v>
      </c>
      <c r="M320">
        <v>480</v>
      </c>
      <c r="N320">
        <v>9</v>
      </c>
      <c r="O320">
        <v>8</v>
      </c>
      <c r="P320">
        <v>9</v>
      </c>
      <c r="Q320">
        <v>8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1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1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1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1</v>
      </c>
      <c r="KC320">
        <v>0</v>
      </c>
      <c r="KD320">
        <v>0</v>
      </c>
      <c r="KE320">
        <v>0</v>
      </c>
      <c r="KF320">
        <v>1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1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0</v>
      </c>
      <c r="NS320">
        <v>0</v>
      </c>
      <c r="NT320">
        <v>0</v>
      </c>
      <c r="NU320">
        <v>0</v>
      </c>
      <c r="NV320">
        <v>0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0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1</v>
      </c>
      <c r="PU320">
        <v>0</v>
      </c>
      <c r="PV320">
        <v>0</v>
      </c>
      <c r="PW320">
        <v>0</v>
      </c>
      <c r="PX320">
        <v>0</v>
      </c>
      <c r="PY320">
        <v>0</v>
      </c>
      <c r="PZ320">
        <v>2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</row>
    <row r="321" spans="1:467" hidden="1" x14ac:dyDescent="0.4">
      <c r="A321" t="str">
        <f>"9784814004225"</f>
        <v>9784814004225</v>
      </c>
      <c r="B321" t="str">
        <f>"4814004222"</f>
        <v>4814004222</v>
      </c>
      <c r="C321" t="s">
        <v>2489</v>
      </c>
      <c r="D321" t="s">
        <v>2490</v>
      </c>
      <c r="E321" t="s">
        <v>2491</v>
      </c>
      <c r="F321" t="s">
        <v>2492</v>
      </c>
      <c r="G321" t="str">
        <f>"1398"</f>
        <v>1398</v>
      </c>
      <c r="H321" t="s">
        <v>541</v>
      </c>
      <c r="I321" t="s">
        <v>1877</v>
      </c>
      <c r="J321" t="s">
        <v>1894</v>
      </c>
      <c r="L321" s="1">
        <v>44747</v>
      </c>
      <c r="M321">
        <v>4900</v>
      </c>
      <c r="N321">
        <v>9</v>
      </c>
      <c r="O321">
        <v>8</v>
      </c>
      <c r="P321">
        <v>9</v>
      </c>
      <c r="Q321">
        <v>8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1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1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1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1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1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2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0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1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</v>
      </c>
      <c r="PV321">
        <v>0</v>
      </c>
      <c r="PW321">
        <v>0</v>
      </c>
      <c r="PX321">
        <v>0</v>
      </c>
      <c r="PY321">
        <v>0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1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</row>
    <row r="322" spans="1:467" hidden="1" x14ac:dyDescent="0.4">
      <c r="A322" t="str">
        <f>"9784087717495"</f>
        <v>9784087717495</v>
      </c>
      <c r="B322" t="str">
        <f>"4087717496"</f>
        <v>4087717496</v>
      </c>
      <c r="C322" t="s">
        <v>2493</v>
      </c>
      <c r="D322" t="s">
        <v>2494</v>
      </c>
      <c r="E322" t="s">
        <v>536</v>
      </c>
      <c r="G322" t="str">
        <f>"0095"</f>
        <v>0095</v>
      </c>
      <c r="H322" t="s">
        <v>481</v>
      </c>
      <c r="I322" t="s">
        <v>1893</v>
      </c>
      <c r="J322" t="s">
        <v>509</v>
      </c>
      <c r="L322" s="1">
        <v>44382</v>
      </c>
      <c r="M322">
        <v>1600</v>
      </c>
      <c r="N322">
        <v>9</v>
      </c>
      <c r="O322">
        <v>9</v>
      </c>
      <c r="P322">
        <v>9</v>
      </c>
      <c r="Q322">
        <v>9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1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1</v>
      </c>
      <c r="EV322">
        <v>1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1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1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1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1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1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</v>
      </c>
      <c r="PU322">
        <v>0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</row>
    <row r="323" spans="1:467" hidden="1" x14ac:dyDescent="0.4">
      <c r="A323" t="str">
        <f>"9784750517780"</f>
        <v>9784750517780</v>
      </c>
      <c r="B323" t="str">
        <f>"475051778X"</f>
        <v>475051778X</v>
      </c>
      <c r="C323" t="s">
        <v>2495</v>
      </c>
      <c r="D323" t="s">
        <v>2496</v>
      </c>
      <c r="E323" t="s">
        <v>2466</v>
      </c>
      <c r="G323" t="str">
        <f>"0095"</f>
        <v>0095</v>
      </c>
      <c r="H323" t="s">
        <v>481</v>
      </c>
      <c r="I323" t="s">
        <v>1893</v>
      </c>
      <c r="J323" t="s">
        <v>509</v>
      </c>
      <c r="L323" s="1">
        <v>44916</v>
      </c>
      <c r="M323">
        <v>1700</v>
      </c>
      <c r="N323">
        <v>9</v>
      </c>
      <c r="O323">
        <v>8</v>
      </c>
      <c r="P323">
        <v>9</v>
      </c>
      <c r="Q323">
        <v>8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1</v>
      </c>
      <c r="CI323">
        <v>1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1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2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1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1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1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</row>
    <row r="324" spans="1:467" hidden="1" x14ac:dyDescent="0.4">
      <c r="A324" t="str">
        <f>"9784309030487"</f>
        <v>9784309030487</v>
      </c>
      <c r="B324" t="str">
        <f>"4309030483"</f>
        <v>4309030483</v>
      </c>
      <c r="C324" t="s">
        <v>2497</v>
      </c>
      <c r="D324" t="s">
        <v>2498</v>
      </c>
      <c r="E324" t="s">
        <v>1143</v>
      </c>
      <c r="G324" t="str">
        <f>"0093"</f>
        <v>0093</v>
      </c>
      <c r="H324" t="s">
        <v>481</v>
      </c>
      <c r="I324" t="s">
        <v>1893</v>
      </c>
      <c r="J324" t="s">
        <v>488</v>
      </c>
      <c r="L324" s="1">
        <v>44768</v>
      </c>
      <c r="M324">
        <v>1400</v>
      </c>
      <c r="N324">
        <v>9</v>
      </c>
      <c r="O324">
        <v>8</v>
      </c>
      <c r="P324">
        <v>9</v>
      </c>
      <c r="Q324">
        <v>8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1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2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1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1</v>
      </c>
      <c r="JN324">
        <v>0</v>
      </c>
      <c r="JO324">
        <v>0</v>
      </c>
      <c r="JP324">
        <v>0</v>
      </c>
      <c r="JQ324">
        <v>1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1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0</v>
      </c>
      <c r="NL324">
        <v>0</v>
      </c>
      <c r="NM324">
        <v>0</v>
      </c>
      <c r="NN324">
        <v>0</v>
      </c>
      <c r="NO324">
        <v>0</v>
      </c>
      <c r="NP324">
        <v>0</v>
      </c>
      <c r="NQ324">
        <v>0</v>
      </c>
      <c r="NR324">
        <v>1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0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</row>
    <row r="325" spans="1:467" hidden="1" x14ac:dyDescent="0.4">
      <c r="A325" t="str">
        <f>"9784910723303"</f>
        <v>9784910723303</v>
      </c>
      <c r="B325" t="str">
        <f>"4910723307"</f>
        <v>4910723307</v>
      </c>
      <c r="G325" t="str">
        <f>""</f>
        <v/>
      </c>
      <c r="L325" s="1">
        <v>44831</v>
      </c>
      <c r="M325">
        <v>0</v>
      </c>
      <c r="N325">
        <v>9</v>
      </c>
      <c r="O325">
        <v>4</v>
      </c>
      <c r="P325">
        <v>9</v>
      </c>
      <c r="Q325">
        <v>4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1</v>
      </c>
      <c r="MM325">
        <v>0</v>
      </c>
      <c r="MN325">
        <v>6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1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1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0</v>
      </c>
      <c r="PZ325">
        <v>0</v>
      </c>
      <c r="QA325">
        <v>0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</row>
    <row r="326" spans="1:467" hidden="1" x14ac:dyDescent="0.4">
      <c r="A326" t="str">
        <f>"9784037260309"</f>
        <v>9784037260309</v>
      </c>
      <c r="B326" t="str">
        <f>"4037260301"</f>
        <v>4037260301</v>
      </c>
      <c r="C326" t="s">
        <v>2499</v>
      </c>
      <c r="D326" t="s">
        <v>2500</v>
      </c>
      <c r="E326" t="s">
        <v>2127</v>
      </c>
      <c r="G326" t="str">
        <f>"8397"</f>
        <v>8397</v>
      </c>
      <c r="H326" t="s">
        <v>1923</v>
      </c>
      <c r="I326" t="s">
        <v>1877</v>
      </c>
      <c r="J326" t="s">
        <v>564</v>
      </c>
      <c r="L326" s="1">
        <v>35674</v>
      </c>
      <c r="M326">
        <v>1300</v>
      </c>
      <c r="N326">
        <v>9</v>
      </c>
      <c r="O326">
        <v>1</v>
      </c>
      <c r="P326">
        <v>9</v>
      </c>
      <c r="Q326">
        <v>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9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</v>
      </c>
      <c r="NK326">
        <v>0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0</v>
      </c>
      <c r="ON326">
        <v>0</v>
      </c>
      <c r="OO326">
        <v>0</v>
      </c>
      <c r="OP326">
        <v>0</v>
      </c>
      <c r="OQ326">
        <v>0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</row>
    <row r="327" spans="1:467" x14ac:dyDescent="0.4">
      <c r="A327" t="str">
        <f>"9784087925401"</f>
        <v>9784087925401</v>
      </c>
      <c r="B327" t="str">
        <f>"4087925404"</f>
        <v>4087925404</v>
      </c>
      <c r="C327" t="s">
        <v>2501</v>
      </c>
      <c r="D327" t="s">
        <v>1909</v>
      </c>
      <c r="E327" t="s">
        <v>536</v>
      </c>
      <c r="F327" t="s">
        <v>1910</v>
      </c>
      <c r="G327" t="str">
        <f>"0979"</f>
        <v>0979</v>
      </c>
      <c r="H327" t="s">
        <v>481</v>
      </c>
      <c r="I327" t="s">
        <v>1856</v>
      </c>
      <c r="J327" t="s">
        <v>1856</v>
      </c>
      <c r="L327" s="1">
        <v>43284</v>
      </c>
      <c r="M327">
        <v>600</v>
      </c>
      <c r="N327">
        <v>9</v>
      </c>
      <c r="O327">
        <v>7</v>
      </c>
      <c r="P327">
        <v>9</v>
      </c>
      <c r="Q327">
        <v>7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1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1</v>
      </c>
      <c r="HW327">
        <v>2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2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1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1</v>
      </c>
      <c r="MM327">
        <v>0</v>
      </c>
      <c r="MN327">
        <v>1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0</v>
      </c>
      <c r="NL327">
        <v>0</v>
      </c>
      <c r="NM327">
        <v>0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0</v>
      </c>
      <c r="PU327">
        <v>0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</row>
    <row r="328" spans="1:467" hidden="1" x14ac:dyDescent="0.4">
      <c r="A328" t="str">
        <f>"9784884185992"</f>
        <v>9784884185992</v>
      </c>
      <c r="B328" t="str">
        <f>"4884185994"</f>
        <v>4884185994</v>
      </c>
      <c r="C328" t="s">
        <v>2502</v>
      </c>
      <c r="E328" t="s">
        <v>2503</v>
      </c>
      <c r="G328" t="str">
        <f>"0076"</f>
        <v>0076</v>
      </c>
      <c r="H328" t="s">
        <v>481</v>
      </c>
      <c r="I328" t="s">
        <v>1893</v>
      </c>
      <c r="J328" t="s">
        <v>552</v>
      </c>
      <c r="L328" s="1">
        <v>44946</v>
      </c>
      <c r="M328">
        <v>1000</v>
      </c>
      <c r="N328">
        <v>9</v>
      </c>
      <c r="O328">
        <v>8</v>
      </c>
      <c r="P328">
        <v>9</v>
      </c>
      <c r="Q328">
        <v>8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1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2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1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1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1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0</v>
      </c>
      <c r="MS328">
        <v>0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1</v>
      </c>
      <c r="NF328">
        <v>0</v>
      </c>
      <c r="NG328">
        <v>0</v>
      </c>
      <c r="NH328">
        <v>0</v>
      </c>
      <c r="NI328">
        <v>0</v>
      </c>
      <c r="NJ328">
        <v>0</v>
      </c>
      <c r="NK328">
        <v>0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0</v>
      </c>
      <c r="PL328">
        <v>0</v>
      </c>
      <c r="PM328">
        <v>0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0</v>
      </c>
      <c r="PT328">
        <v>0</v>
      </c>
      <c r="PU328">
        <v>1</v>
      </c>
      <c r="PV328">
        <v>0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</row>
    <row r="329" spans="1:467" hidden="1" x14ac:dyDescent="0.4">
      <c r="A329" t="str">
        <f>"9784344034082"</f>
        <v>9784344034082</v>
      </c>
      <c r="B329" t="str">
        <f>"4344034082"</f>
        <v>4344034082</v>
      </c>
      <c r="C329" t="s">
        <v>2504</v>
      </c>
      <c r="D329" t="s">
        <v>2505</v>
      </c>
      <c r="E329" t="s">
        <v>714</v>
      </c>
      <c r="F329" t="s">
        <v>2506</v>
      </c>
      <c r="G329" t="str">
        <f>"0095"</f>
        <v>0095</v>
      </c>
      <c r="H329" t="s">
        <v>481</v>
      </c>
      <c r="I329" t="s">
        <v>1893</v>
      </c>
      <c r="J329" t="s">
        <v>509</v>
      </c>
      <c r="L329" s="1">
        <v>43455</v>
      </c>
      <c r="M329">
        <v>1400</v>
      </c>
      <c r="N329">
        <v>9</v>
      </c>
      <c r="O329">
        <v>8</v>
      </c>
      <c r="P329">
        <v>9</v>
      </c>
      <c r="Q329">
        <v>8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1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2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1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1</v>
      </c>
      <c r="JN329">
        <v>1</v>
      </c>
      <c r="JO329">
        <v>0</v>
      </c>
      <c r="JP329">
        <v>0</v>
      </c>
      <c r="JQ329">
        <v>0</v>
      </c>
      <c r="JR329">
        <v>1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1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0</v>
      </c>
      <c r="NG329">
        <v>0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0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</row>
    <row r="330" spans="1:467" hidden="1" x14ac:dyDescent="0.4">
      <c r="A330" t="str">
        <f>"9784058012673"</f>
        <v>9784058012673</v>
      </c>
      <c r="B330" t="str">
        <f>"4058012676"</f>
        <v>4058012676</v>
      </c>
      <c r="C330" t="s">
        <v>2507</v>
      </c>
      <c r="D330" t="s">
        <v>2198</v>
      </c>
      <c r="E330" t="s">
        <v>2199</v>
      </c>
      <c r="G330" t="str">
        <f>"0326"</f>
        <v>0326</v>
      </c>
      <c r="H330" t="s">
        <v>481</v>
      </c>
      <c r="I330" t="s">
        <v>1877</v>
      </c>
      <c r="J330" t="s">
        <v>2110</v>
      </c>
      <c r="L330" s="1">
        <v>44224</v>
      </c>
      <c r="M330">
        <v>1700</v>
      </c>
      <c r="N330">
        <v>9</v>
      </c>
      <c r="O330">
        <v>9</v>
      </c>
      <c r="P330">
        <v>9</v>
      </c>
      <c r="Q330">
        <v>9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1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1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1</v>
      </c>
      <c r="CR330">
        <v>0</v>
      </c>
      <c r="CS330">
        <v>1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1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1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1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1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0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1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</row>
    <row r="331" spans="1:467" hidden="1" x14ac:dyDescent="0.4">
      <c r="A331" t="str">
        <f>"9784791704248"</f>
        <v>9784791704248</v>
      </c>
      <c r="B331" t="str">
        <f>"479170424X"</f>
        <v>479170424X</v>
      </c>
      <c r="C331" t="s">
        <v>2508</v>
      </c>
      <c r="E331" t="s">
        <v>1883</v>
      </c>
      <c r="G331" t="str">
        <f>"9490"</f>
        <v>9490</v>
      </c>
      <c r="H331" t="s">
        <v>1855</v>
      </c>
      <c r="I331" t="s">
        <v>1884</v>
      </c>
      <c r="J331" t="s">
        <v>1885</v>
      </c>
      <c r="L331" s="1">
        <v>44893</v>
      </c>
      <c r="M331">
        <v>1800</v>
      </c>
      <c r="N331">
        <v>9</v>
      </c>
      <c r="O331">
        <v>8</v>
      </c>
      <c r="P331">
        <v>9</v>
      </c>
      <c r="Q331">
        <v>8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2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1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1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1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1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0</v>
      </c>
      <c r="PI331">
        <v>1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0</v>
      </c>
      <c r="PT331">
        <v>0</v>
      </c>
      <c r="PU331">
        <v>0</v>
      </c>
      <c r="PV331">
        <v>0</v>
      </c>
      <c r="PW331">
        <v>0</v>
      </c>
      <c r="PX331">
        <v>0</v>
      </c>
      <c r="PY331">
        <v>0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1</v>
      </c>
      <c r="QL331">
        <v>0</v>
      </c>
      <c r="QM331">
        <v>0</v>
      </c>
      <c r="QN331">
        <v>0</v>
      </c>
      <c r="QO331">
        <v>0</v>
      </c>
      <c r="QP331">
        <v>0</v>
      </c>
      <c r="QQ331">
        <v>1</v>
      </c>
      <c r="QR331">
        <v>0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0</v>
      </c>
    </row>
    <row r="332" spans="1:467" x14ac:dyDescent="0.4">
      <c r="A332" t="str">
        <f>"9784087925470"</f>
        <v>9784087925470</v>
      </c>
      <c r="B332" t="str">
        <f>"4087925471"</f>
        <v>4087925471</v>
      </c>
      <c r="C332" t="s">
        <v>2509</v>
      </c>
      <c r="D332" t="s">
        <v>1909</v>
      </c>
      <c r="E332" t="s">
        <v>536</v>
      </c>
      <c r="F332" t="s">
        <v>1910</v>
      </c>
      <c r="G332" t="str">
        <f>"0979"</f>
        <v>0979</v>
      </c>
      <c r="H332" t="s">
        <v>481</v>
      </c>
      <c r="I332" t="s">
        <v>1856</v>
      </c>
      <c r="J332" t="s">
        <v>1856</v>
      </c>
      <c r="L332" s="1">
        <v>43347</v>
      </c>
      <c r="M332">
        <v>600</v>
      </c>
      <c r="N332">
        <v>9</v>
      </c>
      <c r="O332">
        <v>7</v>
      </c>
      <c r="P332">
        <v>9</v>
      </c>
      <c r="Q332">
        <v>7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1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2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2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1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1</v>
      </c>
      <c r="MM332">
        <v>0</v>
      </c>
      <c r="MN332">
        <v>1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0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1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</row>
    <row r="333" spans="1:467" hidden="1" x14ac:dyDescent="0.4">
      <c r="A333" t="str">
        <f>"9784480815583"</f>
        <v>9784480815583</v>
      </c>
      <c r="B333" t="str">
        <f>"4480815589"</f>
        <v>4480815589</v>
      </c>
      <c r="C333" t="s">
        <v>2510</v>
      </c>
      <c r="D333" t="s">
        <v>2173</v>
      </c>
      <c r="E333" t="s">
        <v>501</v>
      </c>
      <c r="G333" t="str">
        <f>"0095"</f>
        <v>0095</v>
      </c>
      <c r="H333" t="s">
        <v>481</v>
      </c>
      <c r="I333" t="s">
        <v>1893</v>
      </c>
      <c r="J333" t="s">
        <v>509</v>
      </c>
      <c r="L333" s="1">
        <v>44133</v>
      </c>
      <c r="M333">
        <v>1600</v>
      </c>
      <c r="N333">
        <v>9</v>
      </c>
      <c r="O333">
        <v>8</v>
      </c>
      <c r="P333">
        <v>9</v>
      </c>
      <c r="Q333">
        <v>8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1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1</v>
      </c>
      <c r="CO333">
        <v>0</v>
      </c>
      <c r="CP333">
        <v>0</v>
      </c>
      <c r="CQ333">
        <v>1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1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1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2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1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1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</row>
    <row r="334" spans="1:467" hidden="1" x14ac:dyDescent="0.4">
      <c r="A334" t="str">
        <f>"9784622095569"</f>
        <v>9784622095569</v>
      </c>
      <c r="B334" t="str">
        <f>"4622095564"</f>
        <v>4622095564</v>
      </c>
      <c r="C334" t="s">
        <v>2511</v>
      </c>
      <c r="D334" t="s">
        <v>2512</v>
      </c>
      <c r="E334" t="s">
        <v>2455</v>
      </c>
      <c r="G334" t="str">
        <f>"1071"</f>
        <v>1071</v>
      </c>
      <c r="H334" t="s">
        <v>541</v>
      </c>
      <c r="I334" t="s">
        <v>1893</v>
      </c>
      <c r="J334" t="s">
        <v>1437</v>
      </c>
      <c r="L334" s="1">
        <v>44908</v>
      </c>
      <c r="M334">
        <v>7500</v>
      </c>
      <c r="N334">
        <v>9</v>
      </c>
      <c r="O334">
        <v>8</v>
      </c>
      <c r="P334">
        <v>9</v>
      </c>
      <c r="Q334">
        <v>8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1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2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1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1</v>
      </c>
      <c r="DQ334">
        <v>0</v>
      </c>
      <c r="DR334">
        <v>0</v>
      </c>
      <c r="DS334">
        <v>0</v>
      </c>
      <c r="DT334">
        <v>1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1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1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</v>
      </c>
      <c r="OF334">
        <v>0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0</v>
      </c>
      <c r="OR334">
        <v>0</v>
      </c>
      <c r="OS334">
        <v>1</v>
      </c>
      <c r="OT334">
        <v>0</v>
      </c>
      <c r="OU334">
        <v>0</v>
      </c>
      <c r="OV334">
        <v>0</v>
      </c>
      <c r="OW334">
        <v>0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</row>
    <row r="335" spans="1:467" hidden="1" x14ac:dyDescent="0.4">
      <c r="A335" t="str">
        <f>"9784163916187"</f>
        <v>9784163916187</v>
      </c>
      <c r="B335" t="str">
        <f>"4163916180"</f>
        <v>4163916180</v>
      </c>
      <c r="C335" t="s">
        <v>2513</v>
      </c>
      <c r="D335" t="s">
        <v>2514</v>
      </c>
      <c r="E335" t="s">
        <v>639</v>
      </c>
      <c r="G335" t="str">
        <f>"0093"</f>
        <v>0093</v>
      </c>
      <c r="H335" t="s">
        <v>481</v>
      </c>
      <c r="I335" t="s">
        <v>1893</v>
      </c>
      <c r="J335" t="s">
        <v>488</v>
      </c>
      <c r="L335" s="1">
        <v>44869</v>
      </c>
      <c r="M335">
        <v>1800</v>
      </c>
      <c r="N335">
        <v>9</v>
      </c>
      <c r="O335">
        <v>9</v>
      </c>
      <c r="P335">
        <v>9</v>
      </c>
      <c r="Q335">
        <v>9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1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1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1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1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1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1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1</v>
      </c>
      <c r="JN335">
        <v>1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0</v>
      </c>
      <c r="NK335">
        <v>0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0</v>
      </c>
      <c r="NZ335">
        <v>0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0</v>
      </c>
      <c r="OZ335">
        <v>0</v>
      </c>
      <c r="PA335">
        <v>0</v>
      </c>
      <c r="PB335">
        <v>1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0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</row>
    <row r="336" spans="1:467" hidden="1" x14ac:dyDescent="0.4">
      <c r="A336" t="str">
        <f>"9784812221150"</f>
        <v>9784812221150</v>
      </c>
      <c r="B336" t="str">
        <f>"4812221153"</f>
        <v>4812221153</v>
      </c>
      <c r="C336" t="s">
        <v>2515</v>
      </c>
      <c r="D336" t="s">
        <v>2516</v>
      </c>
      <c r="E336" t="s">
        <v>2517</v>
      </c>
      <c r="G336" t="str">
        <f>"0026"</f>
        <v>0026</v>
      </c>
      <c r="H336" t="s">
        <v>481</v>
      </c>
      <c r="I336" t="s">
        <v>1893</v>
      </c>
      <c r="J336" t="s">
        <v>2110</v>
      </c>
      <c r="L336" s="1">
        <v>44664</v>
      </c>
      <c r="M336">
        <v>2000</v>
      </c>
      <c r="N336">
        <v>9</v>
      </c>
      <c r="O336">
        <v>2</v>
      </c>
      <c r="P336">
        <v>9</v>
      </c>
      <c r="Q336">
        <v>2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8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1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0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</v>
      </c>
      <c r="OA336">
        <v>0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  <c r="PB336">
        <v>0</v>
      </c>
      <c r="PC336">
        <v>0</v>
      </c>
      <c r="PD336">
        <v>0</v>
      </c>
      <c r="PE336">
        <v>0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0</v>
      </c>
      <c r="PL336">
        <v>0</v>
      </c>
      <c r="PM336">
        <v>0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0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</row>
    <row r="337" spans="1:467" hidden="1" x14ac:dyDescent="0.4">
      <c r="A337" t="str">
        <f>"9784000615730"</f>
        <v>9784000615730</v>
      </c>
      <c r="B337" t="str">
        <f>"4000615734"</f>
        <v>4000615734</v>
      </c>
      <c r="C337" t="s">
        <v>2518</v>
      </c>
      <c r="D337" t="s">
        <v>2519</v>
      </c>
      <c r="E337" t="s">
        <v>521</v>
      </c>
      <c r="G337" t="str">
        <f>"0095"</f>
        <v>0095</v>
      </c>
      <c r="H337" t="s">
        <v>481</v>
      </c>
      <c r="I337" t="s">
        <v>1893</v>
      </c>
      <c r="J337" t="s">
        <v>509</v>
      </c>
      <c r="L337" s="1">
        <v>44909</v>
      </c>
      <c r="M337">
        <v>1800</v>
      </c>
      <c r="N337">
        <v>9</v>
      </c>
      <c r="O337">
        <v>9</v>
      </c>
      <c r="P337">
        <v>9</v>
      </c>
      <c r="Q337">
        <v>9</v>
      </c>
      <c r="R337">
        <v>0</v>
      </c>
      <c r="S337">
        <v>1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1</v>
      </c>
      <c r="JV337">
        <v>0</v>
      </c>
      <c r="JW337">
        <v>0</v>
      </c>
      <c r="JX337">
        <v>0</v>
      </c>
      <c r="JY337">
        <v>1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1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1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1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1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1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</row>
    <row r="338" spans="1:467" hidden="1" x14ac:dyDescent="0.4">
      <c r="A338" t="str">
        <f>"9784163916149"</f>
        <v>9784163916149</v>
      </c>
      <c r="B338" t="str">
        <f>"4163916148"</f>
        <v>4163916148</v>
      </c>
      <c r="C338" t="s">
        <v>2520</v>
      </c>
      <c r="D338" t="s">
        <v>2521</v>
      </c>
      <c r="E338" t="s">
        <v>639</v>
      </c>
      <c r="G338" t="str">
        <f>"0079"</f>
        <v>0079</v>
      </c>
      <c r="H338" t="s">
        <v>481</v>
      </c>
      <c r="I338" t="s">
        <v>1893</v>
      </c>
      <c r="J338" t="s">
        <v>1856</v>
      </c>
      <c r="L338" s="1">
        <v>44854</v>
      </c>
      <c r="M338">
        <v>1100</v>
      </c>
      <c r="N338">
        <v>9</v>
      </c>
      <c r="O338">
        <v>9</v>
      </c>
      <c r="P338">
        <v>9</v>
      </c>
      <c r="Q338">
        <v>9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1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1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1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1</v>
      </c>
      <c r="JN338">
        <v>0</v>
      </c>
      <c r="JO338">
        <v>0</v>
      </c>
      <c r="JP338">
        <v>1</v>
      </c>
      <c r="JQ338">
        <v>1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1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</v>
      </c>
      <c r="PL338">
        <v>0</v>
      </c>
      <c r="PM338">
        <v>0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0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1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</row>
    <row r="339" spans="1:467" hidden="1" x14ac:dyDescent="0.4">
      <c r="A339" t="str">
        <f>"9784041098790"</f>
        <v>9784041098790</v>
      </c>
      <c r="B339" t="str">
        <f>"4041098793"</f>
        <v>4041098793</v>
      </c>
      <c r="C339" t="s">
        <v>2522</v>
      </c>
      <c r="D339" t="s">
        <v>2523</v>
      </c>
      <c r="E339" t="s">
        <v>597</v>
      </c>
      <c r="G339" t="str">
        <f>"0093"</f>
        <v>0093</v>
      </c>
      <c r="H339" t="s">
        <v>481</v>
      </c>
      <c r="I339" t="s">
        <v>1893</v>
      </c>
      <c r="J339" t="s">
        <v>488</v>
      </c>
      <c r="L339" s="1">
        <v>44257</v>
      </c>
      <c r="M339">
        <v>1600</v>
      </c>
      <c r="N339">
        <v>9</v>
      </c>
      <c r="O339">
        <v>9</v>
      </c>
      <c r="P339">
        <v>9</v>
      </c>
      <c r="Q339">
        <v>9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1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1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1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1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1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1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1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1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</row>
    <row r="340" spans="1:467" hidden="1" x14ac:dyDescent="0.4">
      <c r="A340" t="str">
        <f>"9784787292698"</f>
        <v>9784787292698</v>
      </c>
      <c r="B340" t="str">
        <f>"4787292692"</f>
        <v>4787292692</v>
      </c>
      <c r="C340" t="s">
        <v>2524</v>
      </c>
      <c r="D340" t="s">
        <v>2525</v>
      </c>
      <c r="E340" t="s">
        <v>2095</v>
      </c>
      <c r="G340" t="str">
        <f>"0095"</f>
        <v>0095</v>
      </c>
      <c r="H340" t="s">
        <v>481</v>
      </c>
      <c r="I340" t="s">
        <v>1893</v>
      </c>
      <c r="J340" t="s">
        <v>509</v>
      </c>
      <c r="L340" s="1">
        <v>44916</v>
      </c>
      <c r="M340">
        <v>3400</v>
      </c>
      <c r="N340">
        <v>9</v>
      </c>
      <c r="O340">
        <v>8</v>
      </c>
      <c r="P340">
        <v>9</v>
      </c>
      <c r="Q340">
        <v>8</v>
      </c>
      <c r="R340">
        <v>0</v>
      </c>
      <c r="S340">
        <v>1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1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2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1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1</v>
      </c>
      <c r="MM340">
        <v>0</v>
      </c>
      <c r="MN340">
        <v>1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1</v>
      </c>
      <c r="QU340">
        <v>0</v>
      </c>
      <c r="QV340">
        <v>0</v>
      </c>
      <c r="QW340">
        <v>0</v>
      </c>
      <c r="QX340">
        <v>0</v>
      </c>
      <c r="QY340">
        <v>0</v>
      </c>
    </row>
    <row r="341" spans="1:467" x14ac:dyDescent="0.4">
      <c r="A341" t="str">
        <f>"9784088825342"</f>
        <v>9784088825342</v>
      </c>
      <c r="B341" t="str">
        <f>"4088825349"</f>
        <v>4088825349</v>
      </c>
      <c r="C341" t="s">
        <v>2526</v>
      </c>
      <c r="D341" t="s">
        <v>1869</v>
      </c>
      <c r="E341" t="s">
        <v>536</v>
      </c>
      <c r="F341" t="s">
        <v>1854</v>
      </c>
      <c r="G341" t="str">
        <f>"9979"</f>
        <v>9979</v>
      </c>
      <c r="H341" t="s">
        <v>1855</v>
      </c>
      <c r="I341" t="s">
        <v>1856</v>
      </c>
      <c r="J341" t="s">
        <v>1856</v>
      </c>
      <c r="L341" s="1">
        <v>44200</v>
      </c>
      <c r="M341">
        <v>440</v>
      </c>
      <c r="N341">
        <v>9</v>
      </c>
      <c r="O341">
        <v>8</v>
      </c>
      <c r="P341">
        <v>9</v>
      </c>
      <c r="Q341">
        <v>8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1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1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1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2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1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1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0</v>
      </c>
      <c r="PM341">
        <v>0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</row>
    <row r="342" spans="1:467" x14ac:dyDescent="0.4">
      <c r="A342" t="str">
        <f>"9784088822747"</f>
        <v>9784088822747</v>
      </c>
      <c r="B342" t="str">
        <f>"4088822749"</f>
        <v>4088822749</v>
      </c>
      <c r="C342" t="s">
        <v>2527</v>
      </c>
      <c r="D342" t="s">
        <v>1869</v>
      </c>
      <c r="E342" t="s">
        <v>536</v>
      </c>
      <c r="F342" t="s">
        <v>1854</v>
      </c>
      <c r="G342" t="str">
        <f>"9979"</f>
        <v>9979</v>
      </c>
      <c r="H342" t="s">
        <v>1855</v>
      </c>
      <c r="I342" t="s">
        <v>1856</v>
      </c>
      <c r="J342" t="s">
        <v>1856</v>
      </c>
      <c r="L342" s="1">
        <v>43894</v>
      </c>
      <c r="M342">
        <v>440</v>
      </c>
      <c r="N342">
        <v>9</v>
      </c>
      <c r="O342">
        <v>8</v>
      </c>
      <c r="P342">
        <v>9</v>
      </c>
      <c r="Q342">
        <v>8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1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1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1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1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1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2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1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1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0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</row>
    <row r="343" spans="1:467" hidden="1" x14ac:dyDescent="0.4">
      <c r="A343" t="str">
        <f>"9784000237451"</f>
        <v>9784000237451</v>
      </c>
      <c r="B343" t="str">
        <f>"4000237454"</f>
        <v>4000237454</v>
      </c>
      <c r="C343" t="s">
        <v>2528</v>
      </c>
      <c r="D343" t="s">
        <v>2529</v>
      </c>
      <c r="E343" t="s">
        <v>521</v>
      </c>
      <c r="G343" t="str">
        <f>"0095"</f>
        <v>0095</v>
      </c>
      <c r="H343" t="s">
        <v>481</v>
      </c>
      <c r="I343" t="s">
        <v>1893</v>
      </c>
      <c r="J343" t="s">
        <v>509</v>
      </c>
      <c r="L343" s="1">
        <v>44692</v>
      </c>
      <c r="M343">
        <v>2000</v>
      </c>
      <c r="N343">
        <v>8</v>
      </c>
      <c r="O343">
        <v>7</v>
      </c>
      <c r="P343">
        <v>8</v>
      </c>
      <c r="Q343">
        <v>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1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2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1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1</v>
      </c>
      <c r="MM343">
        <v>0</v>
      </c>
      <c r="MN343">
        <v>1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</v>
      </c>
      <c r="NK343">
        <v>1</v>
      </c>
      <c r="NL343">
        <v>0</v>
      </c>
      <c r="NM343">
        <v>0</v>
      </c>
      <c r="NN343">
        <v>0</v>
      </c>
      <c r="NO343">
        <v>0</v>
      </c>
      <c r="NP343">
        <v>0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1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</row>
    <row r="344" spans="1:467" x14ac:dyDescent="0.4">
      <c r="A344" t="str">
        <f>"9784041122730"</f>
        <v>9784041122730</v>
      </c>
      <c r="B344" t="str">
        <f>"4041122732"</f>
        <v>4041122732</v>
      </c>
      <c r="C344" t="s">
        <v>2530</v>
      </c>
      <c r="D344" t="s">
        <v>2471</v>
      </c>
      <c r="E344" t="s">
        <v>597</v>
      </c>
      <c r="F344" t="s">
        <v>1907</v>
      </c>
      <c r="G344" t="str">
        <f>"0979"</f>
        <v>0979</v>
      </c>
      <c r="H344" t="s">
        <v>481</v>
      </c>
      <c r="I344" t="s">
        <v>1856</v>
      </c>
      <c r="J344" t="s">
        <v>1856</v>
      </c>
      <c r="L344" s="1">
        <v>44623</v>
      </c>
      <c r="M344">
        <v>640</v>
      </c>
      <c r="N344">
        <v>8</v>
      </c>
      <c r="O344">
        <v>5</v>
      </c>
      <c r="P344">
        <v>8</v>
      </c>
      <c r="Q344">
        <v>5</v>
      </c>
      <c r="R344">
        <v>0</v>
      </c>
      <c r="S344">
        <v>0</v>
      </c>
      <c r="T344">
        <v>2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1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2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2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0</v>
      </c>
      <c r="PF344">
        <v>0</v>
      </c>
      <c r="PG344">
        <v>0</v>
      </c>
      <c r="PH344">
        <v>0</v>
      </c>
      <c r="PI344">
        <v>0</v>
      </c>
      <c r="PJ344">
        <v>0</v>
      </c>
      <c r="PK344">
        <v>0</v>
      </c>
      <c r="PL344">
        <v>0</v>
      </c>
      <c r="PM344">
        <v>0</v>
      </c>
      <c r="PN344">
        <v>0</v>
      </c>
      <c r="PO344">
        <v>0</v>
      </c>
      <c r="PP344">
        <v>0</v>
      </c>
      <c r="PQ344">
        <v>0</v>
      </c>
      <c r="PR344">
        <v>0</v>
      </c>
      <c r="PS344">
        <v>0</v>
      </c>
      <c r="PT344">
        <v>0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</row>
    <row r="345" spans="1:467" hidden="1" x14ac:dyDescent="0.4">
      <c r="A345" t="str">
        <f>"9784003355022"</f>
        <v>9784003355022</v>
      </c>
      <c r="B345" t="str">
        <f>"4003355024"</f>
        <v>4003355024</v>
      </c>
      <c r="C345" t="s">
        <v>2531</v>
      </c>
      <c r="D345" t="s">
        <v>2532</v>
      </c>
      <c r="E345" t="s">
        <v>521</v>
      </c>
      <c r="F345" t="s">
        <v>2533</v>
      </c>
      <c r="G345" t="str">
        <f>"0071"</f>
        <v>0071</v>
      </c>
      <c r="H345" t="s">
        <v>481</v>
      </c>
      <c r="I345" t="s">
        <v>1893</v>
      </c>
      <c r="J345" t="s">
        <v>1437</v>
      </c>
      <c r="L345" s="1">
        <v>30407</v>
      </c>
      <c r="M345">
        <v>1010</v>
      </c>
      <c r="N345">
        <v>8</v>
      </c>
      <c r="O345">
        <v>2</v>
      </c>
      <c r="P345">
        <v>8</v>
      </c>
      <c r="Q345">
        <v>2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7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1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</row>
    <row r="346" spans="1:467" hidden="1" x14ac:dyDescent="0.4">
      <c r="A346" t="str">
        <f>"9784789503259"</f>
        <v>9784789503259</v>
      </c>
      <c r="B346" t="str">
        <f>"4789503259"</f>
        <v>4789503259</v>
      </c>
      <c r="C346" t="s">
        <v>2534</v>
      </c>
      <c r="D346" t="s">
        <v>2535</v>
      </c>
      <c r="E346" t="s">
        <v>2536</v>
      </c>
      <c r="G346" t="str">
        <f>"2077"</f>
        <v>2077</v>
      </c>
      <c r="H346" t="s">
        <v>1991</v>
      </c>
      <c r="I346" t="s">
        <v>1893</v>
      </c>
      <c r="J346" t="s">
        <v>1006</v>
      </c>
      <c r="L346" s="1">
        <v>44600</v>
      </c>
      <c r="M346">
        <v>2000</v>
      </c>
      <c r="N346">
        <v>8</v>
      </c>
      <c r="O346">
        <v>5</v>
      </c>
      <c r="P346">
        <v>8</v>
      </c>
      <c r="Q346">
        <v>5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2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1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1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3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0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0</v>
      </c>
      <c r="PB346">
        <v>0</v>
      </c>
      <c r="PC346">
        <v>0</v>
      </c>
      <c r="PD346">
        <v>0</v>
      </c>
      <c r="PE346">
        <v>0</v>
      </c>
      <c r="PF346">
        <v>0</v>
      </c>
      <c r="PG346">
        <v>0</v>
      </c>
      <c r="PH346">
        <v>0</v>
      </c>
      <c r="PI346">
        <v>0</v>
      </c>
      <c r="PJ346">
        <v>0</v>
      </c>
      <c r="PK346">
        <v>0</v>
      </c>
      <c r="PL346">
        <v>0</v>
      </c>
      <c r="PM346">
        <v>0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</row>
    <row r="347" spans="1:467" x14ac:dyDescent="0.4">
      <c r="A347" t="str">
        <f>"9784088826882"</f>
        <v>9784088826882</v>
      </c>
      <c r="B347" t="str">
        <f>"4088826884"</f>
        <v>4088826884</v>
      </c>
      <c r="C347" t="s">
        <v>2537</v>
      </c>
      <c r="D347" t="s">
        <v>1869</v>
      </c>
      <c r="E347" t="s">
        <v>536</v>
      </c>
      <c r="F347" t="s">
        <v>1854</v>
      </c>
      <c r="G347" t="str">
        <f>"9979"</f>
        <v>9979</v>
      </c>
      <c r="H347" t="s">
        <v>1855</v>
      </c>
      <c r="I347" t="s">
        <v>1856</v>
      </c>
      <c r="J347" t="s">
        <v>1856</v>
      </c>
      <c r="L347" s="1">
        <v>44349</v>
      </c>
      <c r="M347">
        <v>440</v>
      </c>
      <c r="N347">
        <v>8</v>
      </c>
      <c r="O347">
        <v>7</v>
      </c>
      <c r="P347">
        <v>8</v>
      </c>
      <c r="Q347">
        <v>7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1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1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1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2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1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1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0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</row>
    <row r="348" spans="1:467" hidden="1" x14ac:dyDescent="0.4">
      <c r="A348" t="str">
        <f>"9784835646466"</f>
        <v>9784835646466</v>
      </c>
      <c r="B348" t="str">
        <f>"4835646460"</f>
        <v>4835646460</v>
      </c>
      <c r="C348" t="s">
        <v>2538</v>
      </c>
      <c r="D348" t="s">
        <v>2539</v>
      </c>
      <c r="E348" t="s">
        <v>2540</v>
      </c>
      <c r="G348" t="str">
        <f>"0095"</f>
        <v>0095</v>
      </c>
      <c r="H348" t="s">
        <v>481</v>
      </c>
      <c r="I348" t="s">
        <v>1893</v>
      </c>
      <c r="J348" t="s">
        <v>509</v>
      </c>
      <c r="L348" s="1">
        <v>44512</v>
      </c>
      <c r="M348">
        <v>1300</v>
      </c>
      <c r="N348">
        <v>8</v>
      </c>
      <c r="O348">
        <v>7</v>
      </c>
      <c r="P348">
        <v>8</v>
      </c>
      <c r="Q348">
        <v>7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1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1</v>
      </c>
      <c r="JN348">
        <v>0</v>
      </c>
      <c r="JO348">
        <v>0</v>
      </c>
      <c r="JP348">
        <v>0</v>
      </c>
      <c r="JQ348">
        <v>0</v>
      </c>
      <c r="JR348">
        <v>1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1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1</v>
      </c>
      <c r="PJ348">
        <v>0</v>
      </c>
      <c r="PK348">
        <v>0</v>
      </c>
      <c r="PL348">
        <v>2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</row>
    <row r="349" spans="1:467" hidden="1" x14ac:dyDescent="0.4">
      <c r="A349" t="str">
        <f>"9784823411465"</f>
        <v>9784823411465</v>
      </c>
      <c r="B349" t="str">
        <f>"4823411463"</f>
        <v>4823411463</v>
      </c>
      <c r="C349" t="s">
        <v>2541</v>
      </c>
      <c r="D349" t="s">
        <v>2542</v>
      </c>
      <c r="E349" t="s">
        <v>2396</v>
      </c>
      <c r="G349" t="str">
        <f>"1090"</f>
        <v>1090</v>
      </c>
      <c r="H349" t="s">
        <v>541</v>
      </c>
      <c r="I349" t="s">
        <v>1893</v>
      </c>
      <c r="J349" t="s">
        <v>1885</v>
      </c>
      <c r="L349" s="1">
        <v>44860</v>
      </c>
      <c r="M349">
        <v>1700</v>
      </c>
      <c r="N349">
        <v>8</v>
      </c>
      <c r="O349">
        <v>8</v>
      </c>
      <c r="P349">
        <v>8</v>
      </c>
      <c r="Q349">
        <v>8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1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1</v>
      </c>
      <c r="CI349">
        <v>1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1</v>
      </c>
      <c r="JN349">
        <v>0</v>
      </c>
      <c r="JO349">
        <v>0</v>
      </c>
      <c r="JP349">
        <v>0</v>
      </c>
      <c r="JQ349">
        <v>1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1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</v>
      </c>
      <c r="NK349">
        <v>0</v>
      </c>
      <c r="NL349">
        <v>0</v>
      </c>
      <c r="NM349">
        <v>0</v>
      </c>
      <c r="NN349">
        <v>1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0</v>
      </c>
      <c r="PT349">
        <v>0</v>
      </c>
      <c r="PU349">
        <v>0</v>
      </c>
      <c r="PV349">
        <v>1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</row>
    <row r="350" spans="1:467" x14ac:dyDescent="0.4">
      <c r="A350" t="str">
        <f>"9784087925487"</f>
        <v>9784087925487</v>
      </c>
      <c r="B350" t="str">
        <f>"408792548X"</f>
        <v>408792548X</v>
      </c>
      <c r="C350" t="s">
        <v>2543</v>
      </c>
      <c r="D350" t="s">
        <v>1909</v>
      </c>
      <c r="E350" t="s">
        <v>536</v>
      </c>
      <c r="F350" t="s">
        <v>1910</v>
      </c>
      <c r="G350" t="str">
        <f>"0979"</f>
        <v>0979</v>
      </c>
      <c r="H350" t="s">
        <v>481</v>
      </c>
      <c r="I350" t="s">
        <v>1856</v>
      </c>
      <c r="J350" t="s">
        <v>1856</v>
      </c>
      <c r="L350" s="1">
        <v>43347</v>
      </c>
      <c r="M350">
        <v>550</v>
      </c>
      <c r="N350">
        <v>8</v>
      </c>
      <c r="O350">
        <v>6</v>
      </c>
      <c r="P350">
        <v>8</v>
      </c>
      <c r="Q350">
        <v>6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1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2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2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1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1</v>
      </c>
      <c r="MM350">
        <v>0</v>
      </c>
      <c r="MN350">
        <v>1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0</v>
      </c>
      <c r="PB350">
        <v>0</v>
      </c>
      <c r="PC350">
        <v>0</v>
      </c>
      <c r="PD350">
        <v>0</v>
      </c>
      <c r="PE350">
        <v>0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</v>
      </c>
      <c r="PS350">
        <v>0</v>
      </c>
      <c r="PT350">
        <v>0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</row>
    <row r="351" spans="1:467" x14ac:dyDescent="0.4">
      <c r="A351" t="str">
        <f>"9784087925432"</f>
        <v>9784087925432</v>
      </c>
      <c r="B351" t="str">
        <f>"4087925439"</f>
        <v>4087925439</v>
      </c>
      <c r="C351" t="s">
        <v>2544</v>
      </c>
      <c r="D351" t="s">
        <v>1909</v>
      </c>
      <c r="E351" t="s">
        <v>536</v>
      </c>
      <c r="F351" t="s">
        <v>1910</v>
      </c>
      <c r="G351" t="str">
        <f>"0979"</f>
        <v>0979</v>
      </c>
      <c r="H351" t="s">
        <v>481</v>
      </c>
      <c r="I351" t="s">
        <v>1856</v>
      </c>
      <c r="J351" t="s">
        <v>1856</v>
      </c>
      <c r="L351" s="1">
        <v>43315</v>
      </c>
      <c r="M351">
        <v>550</v>
      </c>
      <c r="N351">
        <v>8</v>
      </c>
      <c r="O351">
        <v>6</v>
      </c>
      <c r="P351">
        <v>8</v>
      </c>
      <c r="Q351">
        <v>6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1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2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2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1</v>
      </c>
      <c r="MM351">
        <v>0</v>
      </c>
      <c r="MN351">
        <v>1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0</v>
      </c>
      <c r="NG351">
        <v>0</v>
      </c>
      <c r="NH351">
        <v>0</v>
      </c>
      <c r="NI351">
        <v>0</v>
      </c>
      <c r="NJ351">
        <v>0</v>
      </c>
      <c r="NK351">
        <v>0</v>
      </c>
      <c r="NL351">
        <v>0</v>
      </c>
      <c r="NM351">
        <v>0</v>
      </c>
      <c r="NN351">
        <v>0</v>
      </c>
      <c r="NO351">
        <v>0</v>
      </c>
      <c r="NP351">
        <v>0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0</v>
      </c>
      <c r="OH351">
        <v>0</v>
      </c>
      <c r="OI351">
        <v>0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0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0</v>
      </c>
      <c r="PT351">
        <v>0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1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</row>
    <row r="352" spans="1:467" x14ac:dyDescent="0.4">
      <c r="A352" t="str">
        <f>"9784065294314"</f>
        <v>9784065294314</v>
      </c>
      <c r="B352" t="str">
        <f>"4065294312"</f>
        <v>4065294312</v>
      </c>
      <c r="C352" t="s">
        <v>2545</v>
      </c>
      <c r="D352" t="s">
        <v>1902</v>
      </c>
      <c r="E352" t="s">
        <v>548</v>
      </c>
      <c r="F352" t="s">
        <v>2099</v>
      </c>
      <c r="G352" t="str">
        <f>"9979"</f>
        <v>9979</v>
      </c>
      <c r="H352" t="s">
        <v>1855</v>
      </c>
      <c r="I352" t="s">
        <v>1856</v>
      </c>
      <c r="J352" t="s">
        <v>1856</v>
      </c>
      <c r="L352" s="1">
        <v>44851</v>
      </c>
      <c r="M352">
        <v>950</v>
      </c>
      <c r="N352">
        <v>8</v>
      </c>
      <c r="O352">
        <v>8</v>
      </c>
      <c r="P352">
        <v>8</v>
      </c>
      <c r="Q352">
        <v>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1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1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1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1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1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1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  <c r="NK352">
        <v>0</v>
      </c>
      <c r="NL352">
        <v>0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1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</row>
    <row r="353" spans="1:467" hidden="1" x14ac:dyDescent="0.4">
      <c r="A353" t="str">
        <f>"9784092893078"</f>
        <v>9784092893078</v>
      </c>
      <c r="B353" t="str">
        <f>"4092893078"</f>
        <v>4092893078</v>
      </c>
      <c r="C353" t="s">
        <v>2546</v>
      </c>
      <c r="D353" t="s">
        <v>2547</v>
      </c>
      <c r="E353" t="s">
        <v>1069</v>
      </c>
      <c r="G353" t="str">
        <f>"8397"</f>
        <v>8397</v>
      </c>
      <c r="H353" t="s">
        <v>1923</v>
      </c>
      <c r="I353" t="s">
        <v>1877</v>
      </c>
      <c r="J353" t="s">
        <v>564</v>
      </c>
      <c r="L353" s="1">
        <v>44887</v>
      </c>
      <c r="M353">
        <v>5000</v>
      </c>
      <c r="N353">
        <v>8</v>
      </c>
      <c r="O353">
        <v>7</v>
      </c>
      <c r="P353">
        <v>8</v>
      </c>
      <c r="Q353">
        <v>7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2</v>
      </c>
      <c r="CR353">
        <v>0</v>
      </c>
      <c r="CS353">
        <v>1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1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1</v>
      </c>
      <c r="IL353">
        <v>0</v>
      </c>
      <c r="IM353">
        <v>0</v>
      </c>
      <c r="IN353">
        <v>1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1</v>
      </c>
      <c r="MU353">
        <v>0</v>
      </c>
      <c r="MV353">
        <v>0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1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0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0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0</v>
      </c>
      <c r="PT353">
        <v>0</v>
      </c>
      <c r="PU353">
        <v>0</v>
      </c>
      <c r="PV353">
        <v>0</v>
      </c>
      <c r="PW353">
        <v>0</v>
      </c>
      <c r="PX353">
        <v>0</v>
      </c>
      <c r="PY353">
        <v>0</v>
      </c>
      <c r="PZ353">
        <v>0</v>
      </c>
      <c r="QA353">
        <v>0</v>
      </c>
      <c r="QB353">
        <v>0</v>
      </c>
      <c r="QC353">
        <v>0</v>
      </c>
      <c r="QD353">
        <v>0</v>
      </c>
      <c r="QE353">
        <v>0</v>
      </c>
      <c r="QF353">
        <v>0</v>
      </c>
      <c r="QG353">
        <v>0</v>
      </c>
      <c r="QH353">
        <v>0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</row>
    <row r="354" spans="1:467" hidden="1" x14ac:dyDescent="0.4">
      <c r="A354" t="str">
        <f>"9784797673999"</f>
        <v>9784797673999</v>
      </c>
      <c r="B354" t="str">
        <f>"4797673990"</f>
        <v>4797673990</v>
      </c>
      <c r="C354" t="s">
        <v>2548</v>
      </c>
      <c r="D354" t="s">
        <v>2549</v>
      </c>
      <c r="E354" t="s">
        <v>1150</v>
      </c>
      <c r="G354" t="str">
        <f>"0095"</f>
        <v>0095</v>
      </c>
      <c r="H354" t="s">
        <v>481</v>
      </c>
      <c r="I354" t="s">
        <v>1893</v>
      </c>
      <c r="J354" t="s">
        <v>509</v>
      </c>
      <c r="L354" s="1">
        <v>44442</v>
      </c>
      <c r="M354">
        <v>2100</v>
      </c>
      <c r="N354">
        <v>8</v>
      </c>
      <c r="O354">
        <v>8</v>
      </c>
      <c r="P354">
        <v>8</v>
      </c>
      <c r="Q354">
        <v>8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1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1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1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1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1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1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0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0</v>
      </c>
      <c r="PB354">
        <v>0</v>
      </c>
      <c r="PC354">
        <v>0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</v>
      </c>
      <c r="PO354">
        <v>0</v>
      </c>
      <c r="PP354">
        <v>0</v>
      </c>
      <c r="PQ354">
        <v>0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0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</row>
    <row r="355" spans="1:467" hidden="1" x14ac:dyDescent="0.4">
      <c r="A355" t="str">
        <f>"9784344942301"</f>
        <v>9784344942301</v>
      </c>
      <c r="B355" t="str">
        <f>"4344942302"</f>
        <v>4344942302</v>
      </c>
      <c r="C355" t="s">
        <v>2550</v>
      </c>
      <c r="D355" t="s">
        <v>2551</v>
      </c>
      <c r="E355" t="s">
        <v>2552</v>
      </c>
      <c r="G355" t="str">
        <f>"0095"</f>
        <v>0095</v>
      </c>
      <c r="H355" t="s">
        <v>481</v>
      </c>
      <c r="I355" t="s">
        <v>1893</v>
      </c>
      <c r="J355" t="s">
        <v>509</v>
      </c>
      <c r="L355" s="1">
        <v>44887</v>
      </c>
      <c r="M355">
        <v>1800</v>
      </c>
      <c r="N355">
        <v>8</v>
      </c>
      <c r="O355">
        <v>8</v>
      </c>
      <c r="P355">
        <v>8</v>
      </c>
      <c r="Q355">
        <v>8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1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1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1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1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1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1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1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1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0</v>
      </c>
      <c r="NL355">
        <v>0</v>
      </c>
      <c r="NM355">
        <v>0</v>
      </c>
      <c r="NN355">
        <v>0</v>
      </c>
      <c r="NO355">
        <v>0</v>
      </c>
      <c r="NP355">
        <v>0</v>
      </c>
      <c r="NQ355">
        <v>0</v>
      </c>
      <c r="NR355">
        <v>0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</v>
      </c>
      <c r="PL355">
        <v>0</v>
      </c>
      <c r="PM355">
        <v>0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0</v>
      </c>
      <c r="PT355">
        <v>0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</row>
    <row r="356" spans="1:467" hidden="1" x14ac:dyDescent="0.4">
      <c r="A356" t="str">
        <f>"9784309254500"</f>
        <v>9784309254500</v>
      </c>
      <c r="B356" t="str">
        <f>"4309254500"</f>
        <v>4309254500</v>
      </c>
      <c r="C356" t="s">
        <v>2553</v>
      </c>
      <c r="D356" t="s">
        <v>2554</v>
      </c>
      <c r="E356" t="s">
        <v>1143</v>
      </c>
      <c r="G356" t="str">
        <f>"0077"</f>
        <v>0077</v>
      </c>
      <c r="H356" t="s">
        <v>481</v>
      </c>
      <c r="I356" t="s">
        <v>1893</v>
      </c>
      <c r="J356" t="s">
        <v>1006</v>
      </c>
      <c r="L356" s="1">
        <v>44889</v>
      </c>
      <c r="M356">
        <v>4500</v>
      </c>
      <c r="N356">
        <v>8</v>
      </c>
      <c r="O356">
        <v>8</v>
      </c>
      <c r="P356">
        <v>8</v>
      </c>
      <c r="Q356">
        <v>8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1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1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1</v>
      </c>
      <c r="GJ356">
        <v>0</v>
      </c>
      <c r="GK356">
        <v>0</v>
      </c>
      <c r="GL356">
        <v>1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1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</v>
      </c>
      <c r="PB356">
        <v>0</v>
      </c>
      <c r="PC356">
        <v>1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0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1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</row>
    <row r="357" spans="1:467" hidden="1" x14ac:dyDescent="0.4">
      <c r="A357" t="str">
        <f>"9784152101105"</f>
        <v>9784152101105</v>
      </c>
      <c r="B357" t="str">
        <f>"4152101105"</f>
        <v>4152101105</v>
      </c>
      <c r="C357" t="s">
        <v>2555</v>
      </c>
      <c r="D357" t="s">
        <v>2556</v>
      </c>
      <c r="E357" t="s">
        <v>963</v>
      </c>
      <c r="F357" t="s">
        <v>2557</v>
      </c>
      <c r="G357" t="str">
        <f>"8798"</f>
        <v>8798</v>
      </c>
      <c r="H357" t="s">
        <v>1923</v>
      </c>
      <c r="I357" t="s">
        <v>1924</v>
      </c>
      <c r="J357" t="s">
        <v>1894</v>
      </c>
      <c r="L357" s="1">
        <v>44921</v>
      </c>
      <c r="M357">
        <v>1400</v>
      </c>
      <c r="N357">
        <v>8</v>
      </c>
      <c r="O357">
        <v>5</v>
      </c>
      <c r="P357">
        <v>8</v>
      </c>
      <c r="Q357">
        <v>5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1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1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  <c r="NK357">
        <v>0</v>
      </c>
      <c r="NL357">
        <v>0</v>
      </c>
      <c r="NM357">
        <v>0</v>
      </c>
      <c r="NN357">
        <v>1</v>
      </c>
      <c r="NO357">
        <v>0</v>
      </c>
      <c r="NP357">
        <v>0</v>
      </c>
      <c r="NQ357">
        <v>0</v>
      </c>
      <c r="NR357">
        <v>0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0</v>
      </c>
      <c r="OT357">
        <v>4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0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0</v>
      </c>
    </row>
    <row r="358" spans="1:467" hidden="1" x14ac:dyDescent="0.4">
      <c r="A358" t="str">
        <f>"9784806207979"</f>
        <v>9784806207979</v>
      </c>
      <c r="B358" t="str">
        <f>"4806207977"</f>
        <v>4806207977</v>
      </c>
      <c r="C358" t="s">
        <v>2558</v>
      </c>
      <c r="D358" t="s">
        <v>2559</v>
      </c>
      <c r="E358" t="s">
        <v>2559</v>
      </c>
      <c r="G358" t="str">
        <f>"0026"</f>
        <v>0026</v>
      </c>
      <c r="H358" t="s">
        <v>481</v>
      </c>
      <c r="I358" t="s">
        <v>1893</v>
      </c>
      <c r="J358" t="s">
        <v>2110</v>
      </c>
      <c r="L358" s="1">
        <v>44903</v>
      </c>
      <c r="M358">
        <v>1091</v>
      </c>
      <c r="N358">
        <v>8</v>
      </c>
      <c r="O358">
        <v>6</v>
      </c>
      <c r="P358">
        <v>8</v>
      </c>
      <c r="Q358">
        <v>6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1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2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2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1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1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1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</row>
    <row r="359" spans="1:467" hidden="1" x14ac:dyDescent="0.4">
      <c r="A359" t="str">
        <f>"9784838755813"</f>
        <v>9784838755813</v>
      </c>
      <c r="B359" t="str">
        <f>"4838755813"</f>
        <v>4838755813</v>
      </c>
      <c r="C359" t="s">
        <v>2560</v>
      </c>
      <c r="E359" t="s">
        <v>982</v>
      </c>
      <c r="F359" t="s">
        <v>2561</v>
      </c>
      <c r="G359" t="str">
        <f>"9473"</f>
        <v>9473</v>
      </c>
      <c r="H359" t="s">
        <v>1855</v>
      </c>
      <c r="I359" t="s">
        <v>1884</v>
      </c>
      <c r="J359" t="s">
        <v>794</v>
      </c>
      <c r="L359" s="1">
        <v>44900</v>
      </c>
      <c r="M359">
        <v>1500</v>
      </c>
      <c r="N359">
        <v>8</v>
      </c>
      <c r="O359">
        <v>8</v>
      </c>
      <c r="P359">
        <v>8</v>
      </c>
      <c r="Q359">
        <v>8</v>
      </c>
      <c r="R359">
        <v>0</v>
      </c>
      <c r="S359">
        <v>0</v>
      </c>
      <c r="T359">
        <v>1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1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1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1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1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1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1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0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C359">
        <v>0</v>
      </c>
      <c r="OD359">
        <v>0</v>
      </c>
      <c r="OE359">
        <v>0</v>
      </c>
      <c r="OF359">
        <v>0</v>
      </c>
      <c r="OG359">
        <v>0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</v>
      </c>
      <c r="PB359">
        <v>0</v>
      </c>
      <c r="PC359">
        <v>0</v>
      </c>
      <c r="PD359">
        <v>0</v>
      </c>
      <c r="PE359">
        <v>0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0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</v>
      </c>
      <c r="PT359">
        <v>0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1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</row>
    <row r="360" spans="1:467" hidden="1" x14ac:dyDescent="0.4">
      <c r="A360" t="str">
        <f>"9784163916064"</f>
        <v>9784163916064</v>
      </c>
      <c r="B360" t="str">
        <f>"4163916067"</f>
        <v>4163916067</v>
      </c>
      <c r="C360" t="s">
        <v>2562</v>
      </c>
      <c r="D360" t="s">
        <v>2563</v>
      </c>
      <c r="E360" t="s">
        <v>639</v>
      </c>
      <c r="G360" t="str">
        <f>"0095"</f>
        <v>0095</v>
      </c>
      <c r="H360" t="s">
        <v>481</v>
      </c>
      <c r="I360" t="s">
        <v>1893</v>
      </c>
      <c r="J360" t="s">
        <v>509</v>
      </c>
      <c r="L360" s="1">
        <v>44845</v>
      </c>
      <c r="M360">
        <v>2000</v>
      </c>
      <c r="N360">
        <v>8</v>
      </c>
      <c r="O360">
        <v>7</v>
      </c>
      <c r="P360">
        <v>8</v>
      </c>
      <c r="Q360">
        <v>7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1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1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1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1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1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2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1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0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</v>
      </c>
      <c r="PO360">
        <v>0</v>
      </c>
      <c r="PP360">
        <v>0</v>
      </c>
      <c r="PQ360">
        <v>0</v>
      </c>
      <c r="PR360">
        <v>0</v>
      </c>
      <c r="PS360">
        <v>0</v>
      </c>
      <c r="PT360">
        <v>0</v>
      </c>
      <c r="PU360">
        <v>0</v>
      </c>
      <c r="PV360">
        <v>0</v>
      </c>
      <c r="PW360">
        <v>0</v>
      </c>
      <c r="PX360">
        <v>0</v>
      </c>
      <c r="PY360">
        <v>0</v>
      </c>
      <c r="PZ360">
        <v>0</v>
      </c>
      <c r="QA360">
        <v>0</v>
      </c>
      <c r="QB360">
        <v>0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</row>
    <row r="361" spans="1:467" hidden="1" x14ac:dyDescent="0.4">
      <c r="A361" t="str">
        <f>"9784163915159"</f>
        <v>9784163915159</v>
      </c>
      <c r="B361" t="str">
        <f>"416391515X"</f>
        <v>416391515X</v>
      </c>
      <c r="C361" t="s">
        <v>2564</v>
      </c>
      <c r="D361" t="s">
        <v>2565</v>
      </c>
      <c r="E361" t="s">
        <v>639</v>
      </c>
      <c r="G361" t="str">
        <f>"0093"</f>
        <v>0093</v>
      </c>
      <c r="H361" t="s">
        <v>481</v>
      </c>
      <c r="I361" t="s">
        <v>1893</v>
      </c>
      <c r="J361" t="s">
        <v>488</v>
      </c>
      <c r="L361" s="1">
        <v>44643</v>
      </c>
      <c r="M361">
        <v>1700</v>
      </c>
      <c r="N361">
        <v>8</v>
      </c>
      <c r="O361">
        <v>7</v>
      </c>
      <c r="P361">
        <v>8</v>
      </c>
      <c r="Q361">
        <v>7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1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1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2</v>
      </c>
      <c r="JC361">
        <v>0</v>
      </c>
      <c r="JD361">
        <v>0</v>
      </c>
      <c r="JE361">
        <v>0</v>
      </c>
      <c r="JF361">
        <v>1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1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1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  <c r="PB361">
        <v>0</v>
      </c>
      <c r="PC361">
        <v>0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0</v>
      </c>
      <c r="PL361">
        <v>0</v>
      </c>
      <c r="PM361">
        <v>0</v>
      </c>
      <c r="PN361">
        <v>0</v>
      </c>
      <c r="PO361">
        <v>0</v>
      </c>
      <c r="PP361">
        <v>0</v>
      </c>
      <c r="PQ361">
        <v>0</v>
      </c>
      <c r="PR361">
        <v>0</v>
      </c>
      <c r="PS361">
        <v>0</v>
      </c>
      <c r="PT361">
        <v>0</v>
      </c>
      <c r="PU361">
        <v>0</v>
      </c>
      <c r="PV361">
        <v>0</v>
      </c>
      <c r="PW361">
        <v>0</v>
      </c>
      <c r="PX361">
        <v>0</v>
      </c>
      <c r="PY361">
        <v>0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0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1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</row>
    <row r="362" spans="1:467" x14ac:dyDescent="0.4">
      <c r="A362" t="str">
        <f>"9784046820662"</f>
        <v>9784046820662</v>
      </c>
      <c r="B362" t="str">
        <f>"4046820667"</f>
        <v>4046820667</v>
      </c>
      <c r="C362" t="s">
        <v>2566</v>
      </c>
      <c r="D362" t="s">
        <v>2567</v>
      </c>
      <c r="E362" t="s">
        <v>597</v>
      </c>
      <c r="F362" t="s">
        <v>2568</v>
      </c>
      <c r="G362" t="str">
        <f>"0979"</f>
        <v>0979</v>
      </c>
      <c r="H362" t="s">
        <v>481</v>
      </c>
      <c r="I362" t="s">
        <v>1856</v>
      </c>
      <c r="J362" t="s">
        <v>1856</v>
      </c>
      <c r="L362" s="1">
        <v>44953</v>
      </c>
      <c r="M362">
        <v>820</v>
      </c>
      <c r="N362">
        <v>8</v>
      </c>
      <c r="O362">
        <v>6</v>
      </c>
      <c r="P362">
        <v>8</v>
      </c>
      <c r="Q362">
        <v>6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1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3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1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1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1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1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0</v>
      </c>
      <c r="NL362">
        <v>0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</v>
      </c>
      <c r="NS362">
        <v>0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C362">
        <v>0</v>
      </c>
      <c r="OD362">
        <v>0</v>
      </c>
      <c r="OE362">
        <v>0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0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0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</row>
    <row r="363" spans="1:467" x14ac:dyDescent="0.4">
      <c r="A363" t="str">
        <f>"9784758024914"</f>
        <v>9784758024914</v>
      </c>
      <c r="B363" t="str">
        <f>"475802491X"</f>
        <v>475802491X</v>
      </c>
      <c r="C363" t="s">
        <v>2569</v>
      </c>
      <c r="D363" t="s">
        <v>2570</v>
      </c>
      <c r="E363" t="s">
        <v>2571</v>
      </c>
      <c r="F363" t="s">
        <v>2572</v>
      </c>
      <c r="G363" t="str">
        <f>"9979"</f>
        <v>9979</v>
      </c>
      <c r="H363" t="s">
        <v>1855</v>
      </c>
      <c r="I363" t="s">
        <v>1856</v>
      </c>
      <c r="J363" t="s">
        <v>1856</v>
      </c>
      <c r="L363" s="1">
        <v>44944</v>
      </c>
      <c r="M363">
        <v>740</v>
      </c>
      <c r="N363">
        <v>8</v>
      </c>
      <c r="O363">
        <v>7</v>
      </c>
      <c r="P363">
        <v>8</v>
      </c>
      <c r="Q363">
        <v>7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1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1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1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2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1</v>
      </c>
      <c r="LY363">
        <v>0</v>
      </c>
      <c r="LZ363">
        <v>0</v>
      </c>
      <c r="MA363">
        <v>0</v>
      </c>
      <c r="MB363">
        <v>1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  <c r="NG363">
        <v>0</v>
      </c>
      <c r="NH363">
        <v>0</v>
      </c>
      <c r="NI363">
        <v>0</v>
      </c>
      <c r="NJ363">
        <v>0</v>
      </c>
      <c r="NK363">
        <v>0</v>
      </c>
      <c r="NL363">
        <v>0</v>
      </c>
      <c r="NM363">
        <v>0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0</v>
      </c>
      <c r="OF363">
        <v>0</v>
      </c>
      <c r="OG363">
        <v>0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0</v>
      </c>
      <c r="PH363">
        <v>0</v>
      </c>
      <c r="PI363">
        <v>0</v>
      </c>
      <c r="PJ363">
        <v>0</v>
      </c>
      <c r="PK363">
        <v>0</v>
      </c>
      <c r="PL363">
        <v>0</v>
      </c>
      <c r="PM363">
        <v>0</v>
      </c>
      <c r="PN363">
        <v>0</v>
      </c>
      <c r="PO363">
        <v>0</v>
      </c>
      <c r="PP363">
        <v>0</v>
      </c>
      <c r="PQ363">
        <v>0</v>
      </c>
      <c r="PR363">
        <v>0</v>
      </c>
      <c r="PS363">
        <v>0</v>
      </c>
      <c r="PT363">
        <v>0</v>
      </c>
      <c r="PU363">
        <v>0</v>
      </c>
      <c r="PV363">
        <v>0</v>
      </c>
      <c r="PW363">
        <v>0</v>
      </c>
      <c r="PX363">
        <v>0</v>
      </c>
      <c r="PY363">
        <v>0</v>
      </c>
      <c r="PZ363">
        <v>0</v>
      </c>
      <c r="QA363">
        <v>0</v>
      </c>
      <c r="QB363">
        <v>0</v>
      </c>
      <c r="QC363">
        <v>0</v>
      </c>
      <c r="QD363">
        <v>0</v>
      </c>
      <c r="QE363">
        <v>0</v>
      </c>
      <c r="QF363">
        <v>0</v>
      </c>
      <c r="QG363">
        <v>0</v>
      </c>
      <c r="QH363">
        <v>0</v>
      </c>
      <c r="QI363">
        <v>0</v>
      </c>
      <c r="QJ363">
        <v>0</v>
      </c>
      <c r="QK363">
        <v>0</v>
      </c>
      <c r="QL363">
        <v>0</v>
      </c>
      <c r="QM363">
        <v>0</v>
      </c>
      <c r="QN363">
        <v>0</v>
      </c>
      <c r="QO363">
        <v>1</v>
      </c>
      <c r="QP363">
        <v>0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</row>
    <row r="364" spans="1:467" hidden="1" x14ac:dyDescent="0.4">
      <c r="A364" t="str">
        <f>"9784022630582"</f>
        <v>9784022630582</v>
      </c>
      <c r="B364" t="str">
        <f>"4022630582"</f>
        <v>4022630582</v>
      </c>
      <c r="C364" t="s">
        <v>2573</v>
      </c>
      <c r="D364" t="s">
        <v>2574</v>
      </c>
      <c r="E364" t="s">
        <v>498</v>
      </c>
      <c r="F364" t="s">
        <v>2575</v>
      </c>
      <c r="G364" t="str">
        <f>"0395"</f>
        <v>0395</v>
      </c>
      <c r="H364" t="s">
        <v>481</v>
      </c>
      <c r="I364" t="s">
        <v>1877</v>
      </c>
      <c r="J364" t="s">
        <v>509</v>
      </c>
      <c r="L364" s="1">
        <v>42833</v>
      </c>
      <c r="M364">
        <v>1300</v>
      </c>
      <c r="N364">
        <v>8</v>
      </c>
      <c r="O364">
        <v>8</v>
      </c>
      <c r="P364">
        <v>8</v>
      </c>
      <c r="Q364">
        <v>8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1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1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1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1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1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0</v>
      </c>
      <c r="NK364">
        <v>0</v>
      </c>
      <c r="NL364">
        <v>0</v>
      </c>
      <c r="NM364">
        <v>0</v>
      </c>
      <c r="NN364">
        <v>0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0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0</v>
      </c>
      <c r="PB364">
        <v>0</v>
      </c>
      <c r="PC364">
        <v>0</v>
      </c>
      <c r="PD364">
        <v>0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0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0</v>
      </c>
      <c r="PT364">
        <v>0</v>
      </c>
      <c r="PU364">
        <v>0</v>
      </c>
      <c r="PV364">
        <v>0</v>
      </c>
      <c r="PW364">
        <v>0</v>
      </c>
      <c r="PX364">
        <v>0</v>
      </c>
      <c r="PY364">
        <v>0</v>
      </c>
      <c r="PZ364">
        <v>0</v>
      </c>
      <c r="QA364">
        <v>0</v>
      </c>
      <c r="QB364">
        <v>0</v>
      </c>
      <c r="QC364">
        <v>1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1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</row>
    <row r="365" spans="1:467" x14ac:dyDescent="0.4">
      <c r="A365" t="str">
        <f>"9784065303450"</f>
        <v>9784065303450</v>
      </c>
      <c r="B365" t="str">
        <f>"4065303451"</f>
        <v>4065303451</v>
      </c>
      <c r="C365" t="s">
        <v>2576</v>
      </c>
      <c r="D365" t="s">
        <v>2577</v>
      </c>
      <c r="E365" t="s">
        <v>548</v>
      </c>
      <c r="F365" t="s">
        <v>1862</v>
      </c>
      <c r="G365" t="str">
        <f>"9979"</f>
        <v>9979</v>
      </c>
      <c r="H365" t="s">
        <v>1855</v>
      </c>
      <c r="I365" t="s">
        <v>1856</v>
      </c>
      <c r="J365" t="s">
        <v>1856</v>
      </c>
      <c r="L365" s="1">
        <v>44943</v>
      </c>
      <c r="M365">
        <v>480</v>
      </c>
      <c r="N365">
        <v>8</v>
      </c>
      <c r="O365">
        <v>3</v>
      </c>
      <c r="P365">
        <v>8</v>
      </c>
      <c r="Q365">
        <v>3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3</v>
      </c>
      <c r="CI365">
        <v>4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1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</v>
      </c>
      <c r="NK365">
        <v>0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0</v>
      </c>
      <c r="NR365">
        <v>0</v>
      </c>
      <c r="NS365">
        <v>0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0</v>
      </c>
      <c r="OD365">
        <v>0</v>
      </c>
      <c r="OE365">
        <v>0</v>
      </c>
      <c r="OF365">
        <v>0</v>
      </c>
      <c r="OG365">
        <v>0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</v>
      </c>
      <c r="PE365">
        <v>0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0</v>
      </c>
      <c r="PL365">
        <v>0</v>
      </c>
      <c r="PM365">
        <v>0</v>
      </c>
      <c r="PN365">
        <v>0</v>
      </c>
      <c r="PO365">
        <v>0</v>
      </c>
      <c r="PP365">
        <v>0</v>
      </c>
      <c r="PQ365">
        <v>0</v>
      </c>
      <c r="PR365">
        <v>0</v>
      </c>
      <c r="PS365">
        <v>0</v>
      </c>
      <c r="PT365">
        <v>0</v>
      </c>
      <c r="PU365">
        <v>0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0</v>
      </c>
      <c r="QO365">
        <v>0</v>
      </c>
      <c r="QP365">
        <v>0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</row>
    <row r="366" spans="1:467" hidden="1" x14ac:dyDescent="0.4">
      <c r="A366" t="str">
        <f>"9784791775156"</f>
        <v>9784791775156</v>
      </c>
      <c r="B366" t="str">
        <f>"4791775155"</f>
        <v>4791775155</v>
      </c>
      <c r="C366" t="s">
        <v>2578</v>
      </c>
      <c r="D366" t="s">
        <v>2579</v>
      </c>
      <c r="E366" t="s">
        <v>1883</v>
      </c>
      <c r="G366" t="str">
        <f>"0090"</f>
        <v>0090</v>
      </c>
      <c r="H366" t="s">
        <v>481</v>
      </c>
      <c r="I366" t="s">
        <v>1893</v>
      </c>
      <c r="J366" t="s">
        <v>1885</v>
      </c>
      <c r="L366" s="1">
        <v>44889</v>
      </c>
      <c r="M366">
        <v>2000</v>
      </c>
      <c r="N366">
        <v>8</v>
      </c>
      <c r="O366">
        <v>7</v>
      </c>
      <c r="P366">
        <v>8</v>
      </c>
      <c r="Q366">
        <v>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1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1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2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1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</v>
      </c>
      <c r="MU366">
        <v>0</v>
      </c>
      <c r="MV366">
        <v>1</v>
      </c>
      <c r="MW366">
        <v>0</v>
      </c>
      <c r="MX366">
        <v>0</v>
      </c>
      <c r="MY366">
        <v>0</v>
      </c>
      <c r="MZ366">
        <v>0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</v>
      </c>
      <c r="NK366">
        <v>0</v>
      </c>
      <c r="NL366">
        <v>0</v>
      </c>
      <c r="NM366">
        <v>0</v>
      </c>
      <c r="NN366">
        <v>1</v>
      </c>
      <c r="NO366">
        <v>0</v>
      </c>
      <c r="NP366">
        <v>0</v>
      </c>
      <c r="NQ366">
        <v>0</v>
      </c>
      <c r="NR366">
        <v>0</v>
      </c>
      <c r="NS366">
        <v>0</v>
      </c>
      <c r="NT366">
        <v>0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0</v>
      </c>
      <c r="OD366">
        <v>0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0</v>
      </c>
      <c r="ON366">
        <v>0</v>
      </c>
      <c r="OO366">
        <v>0</v>
      </c>
      <c r="OP366">
        <v>0</v>
      </c>
      <c r="OQ366">
        <v>0</v>
      </c>
      <c r="OR366">
        <v>0</v>
      </c>
      <c r="OS366">
        <v>0</v>
      </c>
      <c r="OT366">
        <v>1</v>
      </c>
      <c r="OU366">
        <v>0</v>
      </c>
      <c r="OV366">
        <v>0</v>
      </c>
      <c r="OW366">
        <v>0</v>
      </c>
      <c r="OX366">
        <v>0</v>
      </c>
      <c r="OY366">
        <v>0</v>
      </c>
      <c r="OZ366">
        <v>0</v>
      </c>
      <c r="PA366">
        <v>0</v>
      </c>
      <c r="PB366">
        <v>0</v>
      </c>
      <c r="PC366">
        <v>0</v>
      </c>
      <c r="PD366">
        <v>0</v>
      </c>
      <c r="PE366">
        <v>0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0</v>
      </c>
      <c r="PL366">
        <v>0</v>
      </c>
      <c r="PM366">
        <v>0</v>
      </c>
      <c r="PN366">
        <v>0</v>
      </c>
      <c r="PO366">
        <v>0</v>
      </c>
      <c r="PP366">
        <v>0</v>
      </c>
      <c r="PQ366">
        <v>0</v>
      </c>
      <c r="PR366">
        <v>0</v>
      </c>
      <c r="PS366">
        <v>0</v>
      </c>
      <c r="PT366">
        <v>0</v>
      </c>
      <c r="PU366">
        <v>0</v>
      </c>
      <c r="PV366">
        <v>0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</row>
    <row r="367" spans="1:467" x14ac:dyDescent="0.4">
      <c r="A367" t="str">
        <f>"9784088830537"</f>
        <v>9784088830537</v>
      </c>
      <c r="B367" t="str">
        <f>"4088830539"</f>
        <v>4088830539</v>
      </c>
      <c r="C367" t="s">
        <v>2580</v>
      </c>
      <c r="D367" t="s">
        <v>2201</v>
      </c>
      <c r="E367" t="s">
        <v>536</v>
      </c>
      <c r="F367" t="s">
        <v>1935</v>
      </c>
      <c r="G367" t="str">
        <f>"9979"</f>
        <v>9979</v>
      </c>
      <c r="H367" t="s">
        <v>1855</v>
      </c>
      <c r="I367" t="s">
        <v>1856</v>
      </c>
      <c r="J367" t="s">
        <v>1856</v>
      </c>
      <c r="L367" s="1">
        <v>44622</v>
      </c>
      <c r="M367">
        <v>480</v>
      </c>
      <c r="N367">
        <v>8</v>
      </c>
      <c r="O367">
        <v>8</v>
      </c>
      <c r="P367">
        <v>8</v>
      </c>
      <c r="Q367">
        <v>8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1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1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1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1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1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1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1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0</v>
      </c>
      <c r="OI367">
        <v>0</v>
      </c>
      <c r="OJ367">
        <v>0</v>
      </c>
      <c r="OK367">
        <v>0</v>
      </c>
      <c r="OL367">
        <v>0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0</v>
      </c>
      <c r="PF367">
        <v>0</v>
      </c>
      <c r="PG367">
        <v>0</v>
      </c>
      <c r="PH367">
        <v>0</v>
      </c>
      <c r="PI367">
        <v>0</v>
      </c>
      <c r="PJ367">
        <v>0</v>
      </c>
      <c r="PK367">
        <v>0</v>
      </c>
      <c r="PL367">
        <v>0</v>
      </c>
      <c r="PM367">
        <v>0</v>
      </c>
      <c r="PN367">
        <v>0</v>
      </c>
      <c r="PO367">
        <v>0</v>
      </c>
      <c r="PP367">
        <v>0</v>
      </c>
      <c r="PQ367">
        <v>0</v>
      </c>
      <c r="PR367">
        <v>0</v>
      </c>
      <c r="PS367">
        <v>0</v>
      </c>
      <c r="PT367">
        <v>0</v>
      </c>
      <c r="PU367">
        <v>0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</row>
    <row r="368" spans="1:467" hidden="1" x14ac:dyDescent="0.4">
      <c r="A368" t="str">
        <f>"9784058018033"</f>
        <v>9784058018033</v>
      </c>
      <c r="B368" t="str">
        <f>"4058018038"</f>
        <v>4058018038</v>
      </c>
      <c r="C368" t="s">
        <v>2581</v>
      </c>
      <c r="D368" t="s">
        <v>2198</v>
      </c>
      <c r="E368" t="s">
        <v>2199</v>
      </c>
      <c r="G368" t="str">
        <f>"0026"</f>
        <v>0026</v>
      </c>
      <c r="H368" t="s">
        <v>481</v>
      </c>
      <c r="I368" t="s">
        <v>1893</v>
      </c>
      <c r="J368" t="s">
        <v>2110</v>
      </c>
      <c r="L368" s="1">
        <v>44755</v>
      </c>
      <c r="M368">
        <v>2200</v>
      </c>
      <c r="N368">
        <v>8</v>
      </c>
      <c r="O368">
        <v>7</v>
      </c>
      <c r="P368">
        <v>8</v>
      </c>
      <c r="Q368">
        <v>7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1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1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1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1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2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1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1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0</v>
      </c>
      <c r="PL368">
        <v>0</v>
      </c>
      <c r="PM368">
        <v>0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0</v>
      </c>
      <c r="QC368">
        <v>0</v>
      </c>
      <c r="QD368">
        <v>0</v>
      </c>
      <c r="QE368">
        <v>0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</row>
    <row r="369" spans="1:467" x14ac:dyDescent="0.4">
      <c r="A369" t="str">
        <f>"9784087925500"</f>
        <v>9784087925500</v>
      </c>
      <c r="B369" t="str">
        <f>"4087925501"</f>
        <v>4087925501</v>
      </c>
      <c r="C369" t="s">
        <v>2582</v>
      </c>
      <c r="D369" t="s">
        <v>1909</v>
      </c>
      <c r="E369" t="s">
        <v>536</v>
      </c>
      <c r="F369" t="s">
        <v>1910</v>
      </c>
      <c r="G369" t="str">
        <f>"0979"</f>
        <v>0979</v>
      </c>
      <c r="H369" t="s">
        <v>481</v>
      </c>
      <c r="I369" t="s">
        <v>1856</v>
      </c>
      <c r="J369" t="s">
        <v>1856</v>
      </c>
      <c r="L369" s="1">
        <v>43347</v>
      </c>
      <c r="M369">
        <v>600</v>
      </c>
      <c r="N369">
        <v>8</v>
      </c>
      <c r="O369">
        <v>6</v>
      </c>
      <c r="P369">
        <v>8</v>
      </c>
      <c r="Q369">
        <v>6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1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2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2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1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1</v>
      </c>
      <c r="MM369">
        <v>0</v>
      </c>
      <c r="MN369">
        <v>1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</v>
      </c>
      <c r="PL369">
        <v>0</v>
      </c>
      <c r="PM369">
        <v>0</v>
      </c>
      <c r="PN369">
        <v>0</v>
      </c>
      <c r="PO369">
        <v>0</v>
      </c>
      <c r="PP369">
        <v>0</v>
      </c>
      <c r="PQ369">
        <v>0</v>
      </c>
      <c r="PR369">
        <v>0</v>
      </c>
      <c r="PS369">
        <v>0</v>
      </c>
      <c r="PT369">
        <v>0</v>
      </c>
      <c r="PU369">
        <v>0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</row>
    <row r="370" spans="1:467" hidden="1" x14ac:dyDescent="0.4">
      <c r="A370" t="str">
        <f>"9784909394590"</f>
        <v>9784909394590</v>
      </c>
      <c r="B370" t="str">
        <f>"4909394591"</f>
        <v>4909394591</v>
      </c>
      <c r="C370" t="s">
        <v>2583</v>
      </c>
      <c r="D370" t="s">
        <v>2584</v>
      </c>
      <c r="E370" t="s">
        <v>2585</v>
      </c>
      <c r="G370" t="str">
        <f>"0095"</f>
        <v>0095</v>
      </c>
      <c r="H370" t="s">
        <v>481</v>
      </c>
      <c r="I370" t="s">
        <v>1893</v>
      </c>
      <c r="J370" t="s">
        <v>509</v>
      </c>
      <c r="L370" s="1">
        <v>44491</v>
      </c>
      <c r="M370">
        <v>1600</v>
      </c>
      <c r="N370">
        <v>8</v>
      </c>
      <c r="O370">
        <v>6</v>
      </c>
      <c r="P370">
        <v>8</v>
      </c>
      <c r="Q370">
        <v>6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1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2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1</v>
      </c>
      <c r="JG370">
        <v>2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1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</v>
      </c>
      <c r="NK370">
        <v>0</v>
      </c>
      <c r="NL370">
        <v>1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0</v>
      </c>
      <c r="PA370">
        <v>0</v>
      </c>
      <c r="PB370">
        <v>0</v>
      </c>
      <c r="PC370">
        <v>0</v>
      </c>
      <c r="PD370">
        <v>0</v>
      </c>
      <c r="PE370">
        <v>0</v>
      </c>
      <c r="PF370">
        <v>0</v>
      </c>
      <c r="PG370">
        <v>0</v>
      </c>
      <c r="PH370">
        <v>0</v>
      </c>
      <c r="PI370">
        <v>0</v>
      </c>
      <c r="PJ370">
        <v>0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</row>
    <row r="371" spans="1:467" hidden="1" x14ac:dyDescent="0.4">
      <c r="A371" t="str">
        <f>"9784867015476"</f>
        <v>9784867015476</v>
      </c>
      <c r="B371" t="str">
        <f>"4867015474"</f>
        <v>4867015474</v>
      </c>
      <c r="C371" t="s">
        <v>2586</v>
      </c>
      <c r="E371" t="s">
        <v>2587</v>
      </c>
      <c r="F371" t="s">
        <v>2588</v>
      </c>
      <c r="G371" t="str">
        <f>"9474"</f>
        <v>9474</v>
      </c>
      <c r="H371" t="s">
        <v>1855</v>
      </c>
      <c r="I371" t="s">
        <v>1884</v>
      </c>
      <c r="J371" t="s">
        <v>1393</v>
      </c>
      <c r="L371" s="1">
        <v>44939</v>
      </c>
      <c r="M371">
        <v>900</v>
      </c>
      <c r="N371">
        <v>8</v>
      </c>
      <c r="O371">
        <v>4</v>
      </c>
      <c r="P371">
        <v>8</v>
      </c>
      <c r="Q371">
        <v>4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2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3</v>
      </c>
      <c r="JN371">
        <v>0</v>
      </c>
      <c r="JO371">
        <v>0</v>
      </c>
      <c r="JP371">
        <v>2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1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0</v>
      </c>
      <c r="NL371">
        <v>0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0</v>
      </c>
      <c r="PL371">
        <v>0</v>
      </c>
      <c r="PM371">
        <v>0</v>
      </c>
      <c r="PN371">
        <v>0</v>
      </c>
      <c r="PO371">
        <v>0</v>
      </c>
      <c r="PP371">
        <v>0</v>
      </c>
      <c r="PQ371">
        <v>0</v>
      </c>
      <c r="PR371">
        <v>0</v>
      </c>
      <c r="PS371">
        <v>0</v>
      </c>
      <c r="PT371">
        <v>0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</row>
    <row r="372" spans="1:467" hidden="1" x14ac:dyDescent="0.4">
      <c r="A372" t="str">
        <f>"9784106038792"</f>
        <v>9784106038792</v>
      </c>
      <c r="B372" t="str">
        <f>"410603879X"</f>
        <v>410603879X</v>
      </c>
      <c r="C372" t="s">
        <v>2589</v>
      </c>
      <c r="D372" t="s">
        <v>2590</v>
      </c>
      <c r="E372" t="s">
        <v>516</v>
      </c>
      <c r="F372" t="s">
        <v>2069</v>
      </c>
      <c r="G372" t="str">
        <f>"0373"</f>
        <v>0373</v>
      </c>
      <c r="H372" t="s">
        <v>481</v>
      </c>
      <c r="I372" t="s">
        <v>1877</v>
      </c>
      <c r="J372" t="s">
        <v>794</v>
      </c>
      <c r="L372" s="1">
        <v>44705</v>
      </c>
      <c r="M372">
        <v>1550</v>
      </c>
      <c r="N372">
        <v>8</v>
      </c>
      <c r="O372">
        <v>5</v>
      </c>
      <c r="P372">
        <v>8</v>
      </c>
      <c r="Q372">
        <v>5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1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2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1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0</v>
      </c>
      <c r="MW372">
        <v>0</v>
      </c>
      <c r="MX372">
        <v>0</v>
      </c>
      <c r="MY372">
        <v>0</v>
      </c>
      <c r="MZ372">
        <v>0</v>
      </c>
      <c r="NA372">
        <v>0</v>
      </c>
      <c r="NB372">
        <v>0</v>
      </c>
      <c r="NC372">
        <v>0</v>
      </c>
      <c r="ND372">
        <v>0</v>
      </c>
      <c r="NE372">
        <v>3</v>
      </c>
      <c r="NF372">
        <v>0</v>
      </c>
      <c r="NG372">
        <v>0</v>
      </c>
      <c r="NH372">
        <v>0</v>
      </c>
      <c r="NI372">
        <v>0</v>
      </c>
      <c r="NJ372">
        <v>0</v>
      </c>
      <c r="NK372">
        <v>0</v>
      </c>
      <c r="NL372">
        <v>0</v>
      </c>
      <c r="NM372">
        <v>0</v>
      </c>
      <c r="NN372">
        <v>0</v>
      </c>
      <c r="NO372">
        <v>0</v>
      </c>
      <c r="NP372">
        <v>0</v>
      </c>
      <c r="NQ372">
        <v>0</v>
      </c>
      <c r="NR372">
        <v>0</v>
      </c>
      <c r="NS372">
        <v>0</v>
      </c>
      <c r="NT372">
        <v>0</v>
      </c>
      <c r="NU372">
        <v>0</v>
      </c>
      <c r="NV372">
        <v>0</v>
      </c>
      <c r="NW372">
        <v>0</v>
      </c>
      <c r="NX372">
        <v>0</v>
      </c>
      <c r="NY372">
        <v>0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0</v>
      </c>
      <c r="OH372">
        <v>0</v>
      </c>
      <c r="OI372">
        <v>0</v>
      </c>
      <c r="OJ372">
        <v>0</v>
      </c>
      <c r="OK372">
        <v>0</v>
      </c>
      <c r="OL372">
        <v>0</v>
      </c>
      <c r="OM372">
        <v>0</v>
      </c>
      <c r="ON372">
        <v>0</v>
      </c>
      <c r="OO372">
        <v>0</v>
      </c>
      <c r="OP372">
        <v>0</v>
      </c>
      <c r="OQ372">
        <v>0</v>
      </c>
      <c r="OR372">
        <v>0</v>
      </c>
      <c r="OS372">
        <v>0</v>
      </c>
      <c r="OT372">
        <v>0</v>
      </c>
      <c r="OU372">
        <v>0</v>
      </c>
      <c r="OV372">
        <v>0</v>
      </c>
      <c r="OW372">
        <v>0</v>
      </c>
      <c r="OX372">
        <v>0</v>
      </c>
      <c r="OY372">
        <v>0</v>
      </c>
      <c r="OZ372">
        <v>0</v>
      </c>
      <c r="PA372">
        <v>0</v>
      </c>
      <c r="PB372">
        <v>0</v>
      </c>
      <c r="PC372">
        <v>0</v>
      </c>
      <c r="PD372">
        <v>0</v>
      </c>
      <c r="PE372">
        <v>0</v>
      </c>
      <c r="PF372">
        <v>0</v>
      </c>
      <c r="PG372">
        <v>0</v>
      </c>
      <c r="PH372">
        <v>0</v>
      </c>
      <c r="PI372">
        <v>0</v>
      </c>
      <c r="PJ372">
        <v>0</v>
      </c>
      <c r="PK372">
        <v>0</v>
      </c>
      <c r="PL372">
        <v>0</v>
      </c>
      <c r="PM372">
        <v>0</v>
      </c>
      <c r="PN372">
        <v>0</v>
      </c>
      <c r="PO372">
        <v>0</v>
      </c>
      <c r="PP372">
        <v>0</v>
      </c>
      <c r="PQ372">
        <v>0</v>
      </c>
      <c r="PR372">
        <v>0</v>
      </c>
      <c r="PS372">
        <v>0</v>
      </c>
      <c r="PT372">
        <v>0</v>
      </c>
      <c r="PU372">
        <v>0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1</v>
      </c>
      <c r="QC372">
        <v>0</v>
      </c>
      <c r="QD372">
        <v>0</v>
      </c>
      <c r="QE372">
        <v>0</v>
      </c>
      <c r="QF372">
        <v>0</v>
      </c>
      <c r="QG372">
        <v>0</v>
      </c>
      <c r="QH372">
        <v>0</v>
      </c>
      <c r="QI372">
        <v>0</v>
      </c>
      <c r="QJ372">
        <v>0</v>
      </c>
      <c r="QK372">
        <v>0</v>
      </c>
      <c r="QL372">
        <v>0</v>
      </c>
      <c r="QM372">
        <v>0</v>
      </c>
      <c r="QN372">
        <v>0</v>
      </c>
      <c r="QO372">
        <v>0</v>
      </c>
      <c r="QP372">
        <v>0</v>
      </c>
      <c r="QQ372">
        <v>0</v>
      </c>
      <c r="QR372">
        <v>0</v>
      </c>
      <c r="QS372">
        <v>0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</row>
    <row r="373" spans="1:467" hidden="1" x14ac:dyDescent="0.4">
      <c r="A373" t="str">
        <f>"9784163916361"</f>
        <v>9784163916361</v>
      </c>
      <c r="B373" t="str">
        <f>"4163916369"</f>
        <v>4163916369</v>
      </c>
      <c r="C373" t="s">
        <v>2591</v>
      </c>
      <c r="D373" t="s">
        <v>2592</v>
      </c>
      <c r="E373" t="s">
        <v>639</v>
      </c>
      <c r="G373" t="str">
        <f>"0097"</f>
        <v>0097</v>
      </c>
      <c r="H373" t="s">
        <v>481</v>
      </c>
      <c r="I373" t="s">
        <v>1893</v>
      </c>
      <c r="J373" t="s">
        <v>564</v>
      </c>
      <c r="L373" s="1">
        <v>44933</v>
      </c>
      <c r="M373">
        <v>2100</v>
      </c>
      <c r="N373">
        <v>8</v>
      </c>
      <c r="O373">
        <v>7</v>
      </c>
      <c r="P373">
        <v>8</v>
      </c>
      <c r="Q373">
        <v>7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1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1</v>
      </c>
      <c r="CR373">
        <v>0</v>
      </c>
      <c r="CS373">
        <v>1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1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1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2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1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</row>
    <row r="374" spans="1:467" hidden="1" x14ac:dyDescent="0.4">
      <c r="A374" t="str">
        <f>"9784152101143"</f>
        <v>9784152101143</v>
      </c>
      <c r="B374" t="str">
        <f>"4152101148"</f>
        <v>4152101148</v>
      </c>
      <c r="C374" t="s">
        <v>2593</v>
      </c>
      <c r="D374" t="s">
        <v>2556</v>
      </c>
      <c r="E374" t="s">
        <v>963</v>
      </c>
      <c r="F374" t="s">
        <v>2557</v>
      </c>
      <c r="G374" t="str">
        <f>"8798"</f>
        <v>8798</v>
      </c>
      <c r="H374" t="s">
        <v>1923</v>
      </c>
      <c r="I374" t="s">
        <v>1924</v>
      </c>
      <c r="J374" t="s">
        <v>1894</v>
      </c>
      <c r="L374" s="1">
        <v>44921</v>
      </c>
      <c r="M374">
        <v>1600</v>
      </c>
      <c r="N374">
        <v>8</v>
      </c>
      <c r="O374">
        <v>5</v>
      </c>
      <c r="P374">
        <v>8</v>
      </c>
      <c r="Q374">
        <v>5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1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1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1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0</v>
      </c>
      <c r="NL374">
        <v>0</v>
      </c>
      <c r="NM374">
        <v>0</v>
      </c>
      <c r="NN374">
        <v>1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4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</v>
      </c>
      <c r="PU374">
        <v>0</v>
      </c>
      <c r="PV374">
        <v>0</v>
      </c>
      <c r="PW374">
        <v>0</v>
      </c>
      <c r="PX374">
        <v>0</v>
      </c>
      <c r="PY374">
        <v>0</v>
      </c>
      <c r="PZ374">
        <v>0</v>
      </c>
      <c r="QA374">
        <v>0</v>
      </c>
      <c r="QB374">
        <v>0</v>
      </c>
      <c r="QC374">
        <v>0</v>
      </c>
      <c r="QD374">
        <v>0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</row>
    <row r="375" spans="1:467" x14ac:dyDescent="0.4">
      <c r="A375" t="str">
        <f>"9784065299159"</f>
        <v>9784065299159</v>
      </c>
      <c r="B375" t="str">
        <f>"4065299152"</f>
        <v>4065299152</v>
      </c>
      <c r="C375" t="s">
        <v>2594</v>
      </c>
      <c r="D375" t="s">
        <v>2595</v>
      </c>
      <c r="E375" t="s">
        <v>548</v>
      </c>
      <c r="F375" t="s">
        <v>2596</v>
      </c>
      <c r="G375" t="str">
        <f>"9979"</f>
        <v>9979</v>
      </c>
      <c r="H375" t="s">
        <v>1855</v>
      </c>
      <c r="I375" t="s">
        <v>1856</v>
      </c>
      <c r="J375" t="s">
        <v>1856</v>
      </c>
      <c r="L375" s="1">
        <v>44903</v>
      </c>
      <c r="M375">
        <v>680</v>
      </c>
      <c r="N375">
        <v>8</v>
      </c>
      <c r="O375">
        <v>8</v>
      </c>
      <c r="P375">
        <v>8</v>
      </c>
      <c r="Q375">
        <v>8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1</v>
      </c>
      <c r="BC375">
        <v>0</v>
      </c>
      <c r="BD375">
        <v>0</v>
      </c>
      <c r="BE375">
        <v>0</v>
      </c>
      <c r="BF375">
        <v>0</v>
      </c>
      <c r="BG375">
        <v>1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1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1</v>
      </c>
      <c r="KC375">
        <v>0</v>
      </c>
      <c r="KD375">
        <v>0</v>
      </c>
      <c r="KE375">
        <v>0</v>
      </c>
      <c r="KF375">
        <v>1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1</v>
      </c>
      <c r="NG375">
        <v>0</v>
      </c>
      <c r="NH375">
        <v>0</v>
      </c>
      <c r="NI375">
        <v>0</v>
      </c>
      <c r="NJ375">
        <v>0</v>
      </c>
      <c r="NK375">
        <v>0</v>
      </c>
      <c r="NL375">
        <v>0</v>
      </c>
      <c r="NM375">
        <v>0</v>
      </c>
      <c r="NN375">
        <v>0</v>
      </c>
      <c r="NO375">
        <v>0</v>
      </c>
      <c r="NP375">
        <v>0</v>
      </c>
      <c r="NQ375">
        <v>0</v>
      </c>
      <c r="NR375">
        <v>0</v>
      </c>
      <c r="NS375">
        <v>0</v>
      </c>
      <c r="NT375">
        <v>0</v>
      </c>
      <c r="NU375">
        <v>0</v>
      </c>
      <c r="NV375">
        <v>0</v>
      </c>
      <c r="NW375">
        <v>0</v>
      </c>
      <c r="NX375">
        <v>0</v>
      </c>
      <c r="NY375">
        <v>0</v>
      </c>
      <c r="NZ375">
        <v>0</v>
      </c>
      <c r="OA375">
        <v>0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</v>
      </c>
      <c r="OK375">
        <v>0</v>
      </c>
      <c r="OL375">
        <v>0</v>
      </c>
      <c r="OM375">
        <v>0</v>
      </c>
      <c r="ON375">
        <v>0</v>
      </c>
      <c r="OO375">
        <v>0</v>
      </c>
      <c r="OP375">
        <v>0</v>
      </c>
      <c r="OQ375">
        <v>0</v>
      </c>
      <c r="OR375">
        <v>0</v>
      </c>
      <c r="OS375">
        <v>0</v>
      </c>
      <c r="OT375">
        <v>0</v>
      </c>
      <c r="OU375">
        <v>0</v>
      </c>
      <c r="OV375">
        <v>0</v>
      </c>
      <c r="OW375">
        <v>0</v>
      </c>
      <c r="OX375">
        <v>0</v>
      </c>
      <c r="OY375">
        <v>0</v>
      </c>
      <c r="OZ375">
        <v>0</v>
      </c>
      <c r="PA375">
        <v>0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0</v>
      </c>
      <c r="PL375">
        <v>0</v>
      </c>
      <c r="PM375">
        <v>0</v>
      </c>
      <c r="PN375">
        <v>0</v>
      </c>
      <c r="PO375">
        <v>0</v>
      </c>
      <c r="PP375">
        <v>0</v>
      </c>
      <c r="PQ375">
        <v>0</v>
      </c>
      <c r="PR375">
        <v>0</v>
      </c>
      <c r="PS375">
        <v>0</v>
      </c>
      <c r="PT375">
        <v>0</v>
      </c>
      <c r="PU375">
        <v>0</v>
      </c>
      <c r="PV375">
        <v>0</v>
      </c>
      <c r="PW375">
        <v>0</v>
      </c>
      <c r="PX375">
        <v>0</v>
      </c>
      <c r="PY375">
        <v>0</v>
      </c>
      <c r="PZ375">
        <v>0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0</v>
      </c>
      <c r="QJ375">
        <v>0</v>
      </c>
      <c r="QK375">
        <v>0</v>
      </c>
      <c r="QL375">
        <v>0</v>
      </c>
      <c r="QM375">
        <v>0</v>
      </c>
      <c r="QN375">
        <v>0</v>
      </c>
      <c r="QO375">
        <v>1</v>
      </c>
      <c r="QP375">
        <v>0</v>
      </c>
      <c r="QQ375">
        <v>0</v>
      </c>
      <c r="QR375">
        <v>0</v>
      </c>
      <c r="QS375">
        <v>0</v>
      </c>
      <c r="QT375">
        <v>0</v>
      </c>
      <c r="QU375">
        <v>0</v>
      </c>
      <c r="QV375">
        <v>0</v>
      </c>
      <c r="QW375">
        <v>0</v>
      </c>
      <c r="QX375">
        <v>0</v>
      </c>
      <c r="QY375">
        <v>0</v>
      </c>
    </row>
    <row r="376" spans="1:467" x14ac:dyDescent="0.4">
      <c r="A376" t="str">
        <f>"9784088822969"</f>
        <v>9784088822969</v>
      </c>
      <c r="B376" t="str">
        <f>"408882296X"</f>
        <v>408882296X</v>
      </c>
      <c r="C376" t="s">
        <v>2597</v>
      </c>
      <c r="D376" t="s">
        <v>1869</v>
      </c>
      <c r="E376" t="s">
        <v>536</v>
      </c>
      <c r="F376" t="s">
        <v>1854</v>
      </c>
      <c r="G376" t="str">
        <f>"9979"</f>
        <v>9979</v>
      </c>
      <c r="H376" t="s">
        <v>1855</v>
      </c>
      <c r="I376" t="s">
        <v>1856</v>
      </c>
      <c r="J376" t="s">
        <v>1856</v>
      </c>
      <c r="L376" s="1">
        <v>43986</v>
      </c>
      <c r="M376">
        <v>440</v>
      </c>
      <c r="N376">
        <v>8</v>
      </c>
      <c r="O376">
        <v>7</v>
      </c>
      <c r="P376">
        <v>8</v>
      </c>
      <c r="Q376">
        <v>7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1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1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1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1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2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1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1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</v>
      </c>
      <c r="QQ376">
        <v>0</v>
      </c>
      <c r="QR376">
        <v>0</v>
      </c>
      <c r="QS376">
        <v>0</v>
      </c>
      <c r="QT376">
        <v>0</v>
      </c>
      <c r="QU376">
        <v>0</v>
      </c>
      <c r="QV376">
        <v>0</v>
      </c>
      <c r="QW376">
        <v>0</v>
      </c>
      <c r="QX376">
        <v>0</v>
      </c>
      <c r="QY376">
        <v>0</v>
      </c>
    </row>
    <row r="377" spans="1:467" hidden="1" x14ac:dyDescent="0.4">
      <c r="A377" t="str">
        <f>"9784479393955"</f>
        <v>9784479393955</v>
      </c>
      <c r="B377" t="str">
        <f>"4479393951"</f>
        <v>4479393951</v>
      </c>
      <c r="C377" t="s">
        <v>2598</v>
      </c>
      <c r="D377" t="s">
        <v>2519</v>
      </c>
      <c r="E377" t="s">
        <v>1061</v>
      </c>
      <c r="G377" t="str">
        <f>"0095"</f>
        <v>0095</v>
      </c>
      <c r="H377" t="s">
        <v>481</v>
      </c>
      <c r="I377" t="s">
        <v>1893</v>
      </c>
      <c r="J377" t="s">
        <v>509</v>
      </c>
      <c r="L377" s="1">
        <v>44886</v>
      </c>
      <c r="M377">
        <v>1600</v>
      </c>
      <c r="N377">
        <v>8</v>
      </c>
      <c r="O377">
        <v>7</v>
      </c>
      <c r="P377">
        <v>8</v>
      </c>
      <c r="Q377">
        <v>7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1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2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1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1</v>
      </c>
      <c r="KL377">
        <v>0</v>
      </c>
      <c r="KM377">
        <v>1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1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0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1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0</v>
      </c>
      <c r="PT377">
        <v>0</v>
      </c>
      <c r="PU377">
        <v>0</v>
      </c>
      <c r="PV377">
        <v>0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</row>
    <row r="378" spans="1:467" hidden="1" x14ac:dyDescent="0.4">
      <c r="A378" t="str">
        <f>"9784163916330"</f>
        <v>9784163916330</v>
      </c>
      <c r="B378" t="str">
        <f>"4163916334"</f>
        <v>4163916334</v>
      </c>
      <c r="C378" t="s">
        <v>2599</v>
      </c>
      <c r="D378" t="s">
        <v>2600</v>
      </c>
      <c r="E378" t="s">
        <v>639</v>
      </c>
      <c r="G378" t="str">
        <f>"0093"</f>
        <v>0093</v>
      </c>
      <c r="H378" t="s">
        <v>481</v>
      </c>
      <c r="I378" t="s">
        <v>1893</v>
      </c>
      <c r="J378" t="s">
        <v>488</v>
      </c>
      <c r="L378" s="1">
        <v>44908</v>
      </c>
      <c r="M378">
        <v>1700</v>
      </c>
      <c r="N378">
        <v>8</v>
      </c>
      <c r="O378">
        <v>8</v>
      </c>
      <c r="P378">
        <v>8</v>
      </c>
      <c r="Q378">
        <v>8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1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1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1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1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0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</v>
      </c>
      <c r="NS378">
        <v>0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0</v>
      </c>
      <c r="OC378">
        <v>0</v>
      </c>
      <c r="OD378">
        <v>0</v>
      </c>
      <c r="OE378">
        <v>0</v>
      </c>
      <c r="OF378">
        <v>0</v>
      </c>
      <c r="OG378">
        <v>0</v>
      </c>
      <c r="OH378">
        <v>0</v>
      </c>
      <c r="OI378">
        <v>0</v>
      </c>
      <c r="OJ378">
        <v>0</v>
      </c>
      <c r="OK378">
        <v>0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1</v>
      </c>
      <c r="OT378">
        <v>0</v>
      </c>
      <c r="OU378">
        <v>0</v>
      </c>
      <c r="OV378">
        <v>0</v>
      </c>
      <c r="OW378">
        <v>0</v>
      </c>
      <c r="OX378">
        <v>0</v>
      </c>
      <c r="OY378">
        <v>0</v>
      </c>
      <c r="OZ378">
        <v>0</v>
      </c>
      <c r="PA378">
        <v>0</v>
      </c>
      <c r="PB378">
        <v>0</v>
      </c>
      <c r="PC378">
        <v>0</v>
      </c>
      <c r="PD378">
        <v>0</v>
      </c>
      <c r="PE378">
        <v>0</v>
      </c>
      <c r="PF378">
        <v>0</v>
      </c>
      <c r="PG378">
        <v>0</v>
      </c>
      <c r="PH378">
        <v>0</v>
      </c>
      <c r="PI378">
        <v>0</v>
      </c>
      <c r="PJ378">
        <v>0</v>
      </c>
      <c r="PK378">
        <v>0</v>
      </c>
      <c r="PL378">
        <v>0</v>
      </c>
      <c r="PM378">
        <v>0</v>
      </c>
      <c r="PN378">
        <v>0</v>
      </c>
      <c r="PO378">
        <v>0</v>
      </c>
      <c r="PP378">
        <v>0</v>
      </c>
      <c r="PQ378">
        <v>0</v>
      </c>
      <c r="PR378">
        <v>0</v>
      </c>
      <c r="PS378">
        <v>0</v>
      </c>
      <c r="PT378">
        <v>0</v>
      </c>
      <c r="PU378">
        <v>0</v>
      </c>
      <c r="PV378">
        <v>0</v>
      </c>
      <c r="PW378">
        <v>0</v>
      </c>
      <c r="PX378">
        <v>0</v>
      </c>
      <c r="PY378">
        <v>0</v>
      </c>
      <c r="PZ378">
        <v>0</v>
      </c>
      <c r="QA378">
        <v>1</v>
      </c>
      <c r="QB378">
        <v>0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</row>
    <row r="379" spans="1:467" x14ac:dyDescent="0.4">
      <c r="A379" t="str">
        <f>"9784098512607"</f>
        <v>9784098512607</v>
      </c>
      <c r="B379" t="str">
        <f>"4098512602"</f>
        <v>4098512602</v>
      </c>
      <c r="C379" t="s">
        <v>2601</v>
      </c>
      <c r="D379" t="s">
        <v>2602</v>
      </c>
      <c r="E379" t="s">
        <v>1069</v>
      </c>
      <c r="F379" t="s">
        <v>1881</v>
      </c>
      <c r="G379" t="str">
        <f>"9979"</f>
        <v>9979</v>
      </c>
      <c r="H379" t="s">
        <v>1855</v>
      </c>
      <c r="I379" t="s">
        <v>1856</v>
      </c>
      <c r="J379" t="s">
        <v>1856</v>
      </c>
      <c r="L379" s="1">
        <v>44817</v>
      </c>
      <c r="M379">
        <v>500</v>
      </c>
      <c r="N379">
        <v>8</v>
      </c>
      <c r="O379">
        <v>8</v>
      </c>
      <c r="P379">
        <v>8</v>
      </c>
      <c r="Q379">
        <v>8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1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1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1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1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1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0</v>
      </c>
      <c r="PI379">
        <v>0</v>
      </c>
      <c r="PJ379">
        <v>1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</row>
    <row r="380" spans="1:467" hidden="1" x14ac:dyDescent="0.4">
      <c r="A380" t="str">
        <f>"9784093567428"</f>
        <v>9784093567428</v>
      </c>
      <c r="B380" t="str">
        <f>"4093567425"</f>
        <v>4093567425</v>
      </c>
      <c r="C380" t="s">
        <v>2603</v>
      </c>
      <c r="D380" t="s">
        <v>2604</v>
      </c>
      <c r="E380" t="s">
        <v>1069</v>
      </c>
      <c r="G380" t="str">
        <f>"0097"</f>
        <v>0097</v>
      </c>
      <c r="H380" t="s">
        <v>481</v>
      </c>
      <c r="I380" t="s">
        <v>1893</v>
      </c>
      <c r="J380" t="s">
        <v>564</v>
      </c>
      <c r="L380" s="1">
        <v>44860</v>
      </c>
      <c r="M380">
        <v>2100</v>
      </c>
      <c r="N380">
        <v>8</v>
      </c>
      <c r="O380">
        <v>6</v>
      </c>
      <c r="P380">
        <v>8</v>
      </c>
      <c r="Q380">
        <v>6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1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1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1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3</v>
      </c>
      <c r="NF380">
        <v>0</v>
      </c>
      <c r="NG380">
        <v>0</v>
      </c>
      <c r="NH380">
        <v>0</v>
      </c>
      <c r="NI380">
        <v>0</v>
      </c>
      <c r="NJ380">
        <v>0</v>
      </c>
      <c r="NK380">
        <v>0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0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0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0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0</v>
      </c>
      <c r="PT380">
        <v>1</v>
      </c>
      <c r="PU380">
        <v>0</v>
      </c>
      <c r="PV380">
        <v>0</v>
      </c>
      <c r="PW380">
        <v>0</v>
      </c>
      <c r="PX380">
        <v>0</v>
      </c>
      <c r="PY380">
        <v>0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</row>
    <row r="381" spans="1:467" x14ac:dyDescent="0.4">
      <c r="A381" t="str">
        <f>"9784087925418"</f>
        <v>9784087925418</v>
      </c>
      <c r="B381" t="str">
        <f>"4087925412"</f>
        <v>4087925412</v>
      </c>
      <c r="C381" t="s">
        <v>2605</v>
      </c>
      <c r="D381" t="s">
        <v>1909</v>
      </c>
      <c r="E381" t="s">
        <v>536</v>
      </c>
      <c r="F381" t="s">
        <v>1910</v>
      </c>
      <c r="G381" t="str">
        <f>"0979"</f>
        <v>0979</v>
      </c>
      <c r="H381" t="s">
        <v>481</v>
      </c>
      <c r="I381" t="s">
        <v>1856</v>
      </c>
      <c r="J381" t="s">
        <v>1856</v>
      </c>
      <c r="L381" s="1">
        <v>43315</v>
      </c>
      <c r="M381">
        <v>600</v>
      </c>
      <c r="N381">
        <v>8</v>
      </c>
      <c r="O381">
        <v>6</v>
      </c>
      <c r="P381">
        <v>8</v>
      </c>
      <c r="Q381">
        <v>6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2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2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1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1</v>
      </c>
      <c r="MM381">
        <v>0</v>
      </c>
      <c r="MN381">
        <v>1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0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0</v>
      </c>
      <c r="NG381">
        <v>0</v>
      </c>
      <c r="NH381">
        <v>0</v>
      </c>
      <c r="NI381">
        <v>0</v>
      </c>
      <c r="NJ381">
        <v>0</v>
      </c>
      <c r="NK381">
        <v>0</v>
      </c>
      <c r="NL381">
        <v>0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0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0</v>
      </c>
      <c r="PA381">
        <v>0</v>
      </c>
      <c r="PB381">
        <v>0</v>
      </c>
      <c r="PC381">
        <v>0</v>
      </c>
      <c r="PD381">
        <v>0</v>
      </c>
      <c r="PE381">
        <v>0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0</v>
      </c>
      <c r="PL381">
        <v>0</v>
      </c>
      <c r="PM381">
        <v>0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0</v>
      </c>
      <c r="PT381">
        <v>0</v>
      </c>
      <c r="PU381">
        <v>0</v>
      </c>
      <c r="PV381">
        <v>0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0</v>
      </c>
      <c r="QG381">
        <v>0</v>
      </c>
      <c r="QH381">
        <v>0</v>
      </c>
      <c r="QI381">
        <v>0</v>
      </c>
      <c r="QJ381">
        <v>0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1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</row>
    <row r="382" spans="1:467" hidden="1" x14ac:dyDescent="0.4">
      <c r="A382" t="str">
        <f>"9784533150449"</f>
        <v>9784533150449</v>
      </c>
      <c r="B382" t="str">
        <f>"4533150446"</f>
        <v>4533150446</v>
      </c>
      <c r="C382" t="s">
        <v>2606</v>
      </c>
      <c r="E382" t="s">
        <v>2312</v>
      </c>
      <c r="F382" t="s">
        <v>2607</v>
      </c>
      <c r="G382" t="str">
        <f>"9426"</f>
        <v>9426</v>
      </c>
      <c r="H382" t="s">
        <v>1855</v>
      </c>
      <c r="I382" t="s">
        <v>1884</v>
      </c>
      <c r="J382" t="s">
        <v>2110</v>
      </c>
      <c r="L382" s="1">
        <v>44911</v>
      </c>
      <c r="M382">
        <v>1250</v>
      </c>
      <c r="N382">
        <v>8</v>
      </c>
      <c r="O382">
        <v>6</v>
      </c>
      <c r="P382">
        <v>8</v>
      </c>
      <c r="Q382">
        <v>6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1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2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1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1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2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1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0</v>
      </c>
      <c r="NK382">
        <v>0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  <c r="PB382">
        <v>0</v>
      </c>
      <c r="PC382">
        <v>0</v>
      </c>
      <c r="PD382">
        <v>0</v>
      </c>
      <c r="PE382">
        <v>0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0</v>
      </c>
      <c r="PL382">
        <v>0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0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0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</row>
    <row r="383" spans="1:467" hidden="1" x14ac:dyDescent="0.4">
      <c r="A383" t="str">
        <f>"9784148273243"</f>
        <v>9784148273243</v>
      </c>
      <c r="B383" t="str">
        <f>"414827324X"</f>
        <v>414827324X</v>
      </c>
      <c r="C383" t="s">
        <v>2608</v>
      </c>
      <c r="D383" t="s">
        <v>2609</v>
      </c>
      <c r="E383" t="s">
        <v>480</v>
      </c>
      <c r="F383" t="s">
        <v>2610</v>
      </c>
      <c r="G383" t="str">
        <f>"9477"</f>
        <v>9477</v>
      </c>
      <c r="H383" t="s">
        <v>1855</v>
      </c>
      <c r="I383" t="s">
        <v>1884</v>
      </c>
      <c r="J383" t="s">
        <v>1006</v>
      </c>
      <c r="L383" s="1">
        <v>44918</v>
      </c>
      <c r="M383">
        <v>600</v>
      </c>
      <c r="N383">
        <v>8</v>
      </c>
      <c r="O383">
        <v>7</v>
      </c>
      <c r="P383">
        <v>8</v>
      </c>
      <c r="Q383">
        <v>7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1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1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1</v>
      </c>
      <c r="IS383">
        <v>0</v>
      </c>
      <c r="IT383">
        <v>0</v>
      </c>
      <c r="IU383">
        <v>0</v>
      </c>
      <c r="IV383">
        <v>0</v>
      </c>
      <c r="IW383">
        <v>2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  <c r="NG383">
        <v>0</v>
      </c>
      <c r="NH383">
        <v>0</v>
      </c>
      <c r="NI383">
        <v>0</v>
      </c>
      <c r="NJ383">
        <v>0</v>
      </c>
      <c r="NK383">
        <v>0</v>
      </c>
      <c r="NL383">
        <v>0</v>
      </c>
      <c r="NM383">
        <v>0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0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1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1</v>
      </c>
      <c r="PI383">
        <v>0</v>
      </c>
      <c r="PJ383">
        <v>0</v>
      </c>
      <c r="PK383">
        <v>0</v>
      </c>
      <c r="PL383">
        <v>0</v>
      </c>
      <c r="PM383">
        <v>0</v>
      </c>
      <c r="PN383">
        <v>0</v>
      </c>
      <c r="PO383">
        <v>0</v>
      </c>
      <c r="PP383">
        <v>0</v>
      </c>
      <c r="PQ383">
        <v>0</v>
      </c>
      <c r="PR383">
        <v>0</v>
      </c>
      <c r="PS383">
        <v>0</v>
      </c>
      <c r="PT383">
        <v>0</v>
      </c>
      <c r="PU383">
        <v>0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</row>
    <row r="384" spans="1:467" x14ac:dyDescent="0.4">
      <c r="A384" t="str">
        <f>"9784757583191"</f>
        <v>9784757583191</v>
      </c>
      <c r="B384" t="str">
        <f>"4757583192"</f>
        <v>4757583192</v>
      </c>
      <c r="C384" t="s">
        <v>2611</v>
      </c>
      <c r="D384" t="s">
        <v>2612</v>
      </c>
      <c r="E384" t="s">
        <v>2047</v>
      </c>
      <c r="F384" t="s">
        <v>2613</v>
      </c>
      <c r="G384" t="str">
        <f>"9979"</f>
        <v>9979</v>
      </c>
      <c r="H384" t="s">
        <v>1855</v>
      </c>
      <c r="I384" t="s">
        <v>1856</v>
      </c>
      <c r="J384" t="s">
        <v>1856</v>
      </c>
      <c r="L384" s="1">
        <v>44916</v>
      </c>
      <c r="M384">
        <v>700</v>
      </c>
      <c r="N384">
        <v>8</v>
      </c>
      <c r="O384">
        <v>7</v>
      </c>
      <c r="P384">
        <v>8</v>
      </c>
      <c r="Q384">
        <v>7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0</v>
      </c>
      <c r="AH384">
        <v>0</v>
      </c>
      <c r="AI384">
        <v>1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2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1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1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0</v>
      </c>
      <c r="NL384">
        <v>0</v>
      </c>
      <c r="NM384">
        <v>0</v>
      </c>
      <c r="NN384">
        <v>0</v>
      </c>
      <c r="NO384">
        <v>0</v>
      </c>
      <c r="NP384">
        <v>0</v>
      </c>
      <c r="NQ384">
        <v>0</v>
      </c>
      <c r="NR384">
        <v>0</v>
      </c>
      <c r="NS384">
        <v>0</v>
      </c>
      <c r="NT384">
        <v>0</v>
      </c>
      <c r="NU384">
        <v>0</v>
      </c>
      <c r="NV384">
        <v>0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</v>
      </c>
      <c r="OH384">
        <v>0</v>
      </c>
      <c r="OI384">
        <v>0</v>
      </c>
      <c r="OJ384">
        <v>0</v>
      </c>
      <c r="OK384">
        <v>0</v>
      </c>
      <c r="OL384">
        <v>0</v>
      </c>
      <c r="OM384">
        <v>0</v>
      </c>
      <c r="ON384">
        <v>0</v>
      </c>
      <c r="OO384">
        <v>1</v>
      </c>
      <c r="OP384">
        <v>0</v>
      </c>
      <c r="OQ384">
        <v>0</v>
      </c>
      <c r="OR384">
        <v>0</v>
      </c>
      <c r="OS384">
        <v>0</v>
      </c>
      <c r="OT384">
        <v>0</v>
      </c>
      <c r="OU384">
        <v>0</v>
      </c>
      <c r="OV384">
        <v>0</v>
      </c>
      <c r="OW384">
        <v>0</v>
      </c>
      <c r="OX384">
        <v>0</v>
      </c>
      <c r="OY384">
        <v>0</v>
      </c>
      <c r="OZ384">
        <v>0</v>
      </c>
      <c r="PA384">
        <v>0</v>
      </c>
      <c r="PB384">
        <v>0</v>
      </c>
      <c r="PC384">
        <v>0</v>
      </c>
      <c r="PD384">
        <v>0</v>
      </c>
      <c r="PE384">
        <v>0</v>
      </c>
      <c r="PF384">
        <v>0</v>
      </c>
      <c r="PG384">
        <v>0</v>
      </c>
      <c r="PH384">
        <v>0</v>
      </c>
      <c r="PI384">
        <v>0</v>
      </c>
      <c r="PJ384">
        <v>0</v>
      </c>
      <c r="PK384">
        <v>0</v>
      </c>
      <c r="PL384">
        <v>0</v>
      </c>
      <c r="PM384">
        <v>0</v>
      </c>
      <c r="PN384">
        <v>0</v>
      </c>
      <c r="PO384">
        <v>0</v>
      </c>
      <c r="PP384">
        <v>0</v>
      </c>
      <c r="PQ384">
        <v>0</v>
      </c>
      <c r="PR384">
        <v>0</v>
      </c>
      <c r="PS384">
        <v>0</v>
      </c>
      <c r="PT384">
        <v>0</v>
      </c>
      <c r="PU384">
        <v>0</v>
      </c>
      <c r="PV384">
        <v>0</v>
      </c>
      <c r="PW384">
        <v>0</v>
      </c>
      <c r="PX384">
        <v>0</v>
      </c>
      <c r="PY384">
        <v>0</v>
      </c>
      <c r="PZ384">
        <v>0</v>
      </c>
      <c r="QA384">
        <v>0</v>
      </c>
      <c r="QB384">
        <v>0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</v>
      </c>
      <c r="QQ384">
        <v>0</v>
      </c>
      <c r="QR384">
        <v>0</v>
      </c>
      <c r="QS384">
        <v>0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0</v>
      </c>
    </row>
    <row r="385" spans="1:467" x14ac:dyDescent="0.4">
      <c r="A385" t="str">
        <f>"9784088823812"</f>
        <v>9784088823812</v>
      </c>
      <c r="B385" t="str">
        <f>"4088823818"</f>
        <v>4088823818</v>
      </c>
      <c r="C385" t="s">
        <v>2614</v>
      </c>
      <c r="D385" t="s">
        <v>1869</v>
      </c>
      <c r="E385" t="s">
        <v>536</v>
      </c>
      <c r="F385" t="s">
        <v>1854</v>
      </c>
      <c r="G385" t="str">
        <f>"9979"</f>
        <v>9979</v>
      </c>
      <c r="H385" t="s">
        <v>1855</v>
      </c>
      <c r="I385" t="s">
        <v>1856</v>
      </c>
      <c r="J385" t="s">
        <v>1856</v>
      </c>
      <c r="L385" s="1">
        <v>44047</v>
      </c>
      <c r="M385">
        <v>440</v>
      </c>
      <c r="N385">
        <v>8</v>
      </c>
      <c r="O385">
        <v>7</v>
      </c>
      <c r="P385">
        <v>8</v>
      </c>
      <c r="Q385">
        <v>7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1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1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1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1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2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1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1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>
        <v>0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0</v>
      </c>
      <c r="PL385">
        <v>0</v>
      </c>
      <c r="PM385">
        <v>0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0</v>
      </c>
      <c r="PT385">
        <v>0</v>
      </c>
      <c r="PU385">
        <v>0</v>
      </c>
      <c r="PV385">
        <v>0</v>
      </c>
      <c r="PW385">
        <v>0</v>
      </c>
      <c r="PX385">
        <v>0</v>
      </c>
      <c r="PY385">
        <v>0</v>
      </c>
      <c r="PZ385">
        <v>0</v>
      </c>
      <c r="QA385">
        <v>0</v>
      </c>
      <c r="QB385">
        <v>0</v>
      </c>
      <c r="QC385">
        <v>0</v>
      </c>
      <c r="QD385">
        <v>0</v>
      </c>
      <c r="QE385">
        <v>0</v>
      </c>
      <c r="QF385">
        <v>0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0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</row>
    <row r="386" spans="1:467" hidden="1" x14ac:dyDescent="0.4">
      <c r="A386" t="str">
        <f>"9784396636371"</f>
        <v>9784396636371</v>
      </c>
      <c r="B386" t="str">
        <f>"4396636377"</f>
        <v>4396636377</v>
      </c>
      <c r="C386" t="s">
        <v>2615</v>
      </c>
      <c r="D386" t="s">
        <v>2616</v>
      </c>
      <c r="E386" t="s">
        <v>1387</v>
      </c>
      <c r="G386" t="str">
        <f>"0093"</f>
        <v>0093</v>
      </c>
      <c r="H386" t="s">
        <v>481</v>
      </c>
      <c r="I386" t="s">
        <v>1893</v>
      </c>
      <c r="J386" t="s">
        <v>488</v>
      </c>
      <c r="L386" s="1">
        <v>44938</v>
      </c>
      <c r="M386">
        <v>1800</v>
      </c>
      <c r="N386">
        <v>8</v>
      </c>
      <c r="O386">
        <v>7</v>
      </c>
      <c r="P386">
        <v>8</v>
      </c>
      <c r="Q386">
        <v>7</v>
      </c>
      <c r="R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1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1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1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1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0</v>
      </c>
      <c r="PB386">
        <v>0</v>
      </c>
      <c r="PC386">
        <v>0</v>
      </c>
      <c r="PD386">
        <v>0</v>
      </c>
      <c r="PE386">
        <v>0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0</v>
      </c>
      <c r="PL386">
        <v>0</v>
      </c>
      <c r="PM386">
        <v>2</v>
      </c>
      <c r="PN386">
        <v>0</v>
      </c>
      <c r="PO386">
        <v>0</v>
      </c>
      <c r="PP386">
        <v>0</v>
      </c>
      <c r="PQ386">
        <v>0</v>
      </c>
      <c r="PR386">
        <v>0</v>
      </c>
      <c r="PS386">
        <v>0</v>
      </c>
      <c r="PT386">
        <v>0</v>
      </c>
      <c r="PU386">
        <v>0</v>
      </c>
      <c r="PV386">
        <v>0</v>
      </c>
      <c r="PW386">
        <v>0</v>
      </c>
      <c r="PX386">
        <v>0</v>
      </c>
      <c r="PY386">
        <v>0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0</v>
      </c>
      <c r="QG386">
        <v>0</v>
      </c>
      <c r="QH386">
        <v>0</v>
      </c>
      <c r="QI386">
        <v>0</v>
      </c>
      <c r="QJ386">
        <v>0</v>
      </c>
      <c r="QK386">
        <v>0</v>
      </c>
      <c r="QL386">
        <v>0</v>
      </c>
      <c r="QM386">
        <v>0</v>
      </c>
      <c r="QN386">
        <v>0</v>
      </c>
      <c r="QO386">
        <v>0</v>
      </c>
      <c r="QP386">
        <v>0</v>
      </c>
      <c r="QQ386">
        <v>1</v>
      </c>
      <c r="QR386">
        <v>0</v>
      </c>
      <c r="QS386">
        <v>0</v>
      </c>
      <c r="QT386">
        <v>0</v>
      </c>
      <c r="QU386">
        <v>0</v>
      </c>
      <c r="QV386">
        <v>0</v>
      </c>
      <c r="QW386">
        <v>0</v>
      </c>
      <c r="QX386">
        <v>0</v>
      </c>
      <c r="QY386">
        <v>0</v>
      </c>
    </row>
    <row r="387" spans="1:467" hidden="1" x14ac:dyDescent="0.4">
      <c r="A387" t="str">
        <f>"9784797674194"</f>
        <v>9784797674194</v>
      </c>
      <c r="B387" t="str">
        <f>"4797674199"</f>
        <v>4797674199</v>
      </c>
      <c r="C387" t="s">
        <v>2617</v>
      </c>
      <c r="D387" t="s">
        <v>2618</v>
      </c>
      <c r="E387" t="s">
        <v>1150</v>
      </c>
      <c r="G387" t="str">
        <f>"0095"</f>
        <v>0095</v>
      </c>
      <c r="H387" t="s">
        <v>481</v>
      </c>
      <c r="I387" t="s">
        <v>1893</v>
      </c>
      <c r="J387" t="s">
        <v>509</v>
      </c>
      <c r="L387" s="1">
        <v>44862</v>
      </c>
      <c r="M387">
        <v>2200</v>
      </c>
      <c r="N387">
        <v>8</v>
      </c>
      <c r="O387">
        <v>7</v>
      </c>
      <c r="P387">
        <v>8</v>
      </c>
      <c r="Q387">
        <v>7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1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1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1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1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2</v>
      </c>
      <c r="IX387">
        <v>0</v>
      </c>
      <c r="IY387">
        <v>1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1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0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0</v>
      </c>
      <c r="OU387">
        <v>0</v>
      </c>
      <c r="OV387">
        <v>0</v>
      </c>
      <c r="OW387">
        <v>0</v>
      </c>
      <c r="OX387">
        <v>0</v>
      </c>
      <c r="OY387">
        <v>0</v>
      </c>
      <c r="OZ387">
        <v>0</v>
      </c>
      <c r="PA387">
        <v>0</v>
      </c>
      <c r="PB387">
        <v>0</v>
      </c>
      <c r="PC387">
        <v>0</v>
      </c>
      <c r="PD387">
        <v>0</v>
      </c>
      <c r="PE387">
        <v>0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0</v>
      </c>
      <c r="PL387">
        <v>0</v>
      </c>
      <c r="PM387">
        <v>0</v>
      </c>
      <c r="PN387">
        <v>0</v>
      </c>
      <c r="PO387">
        <v>0</v>
      </c>
      <c r="PP387">
        <v>0</v>
      </c>
      <c r="PQ387">
        <v>0</v>
      </c>
      <c r="PR387">
        <v>0</v>
      </c>
      <c r="PS387">
        <v>0</v>
      </c>
      <c r="PT387">
        <v>0</v>
      </c>
      <c r="PU387">
        <v>0</v>
      </c>
      <c r="PV387">
        <v>0</v>
      </c>
      <c r="PW387">
        <v>0</v>
      </c>
      <c r="PX387">
        <v>0</v>
      </c>
      <c r="PY387">
        <v>0</v>
      </c>
      <c r="PZ387">
        <v>0</v>
      </c>
      <c r="QA387">
        <v>0</v>
      </c>
      <c r="QB387">
        <v>0</v>
      </c>
      <c r="QC387">
        <v>0</v>
      </c>
      <c r="QD387">
        <v>0</v>
      </c>
      <c r="QE387">
        <v>0</v>
      </c>
      <c r="QF387">
        <v>0</v>
      </c>
      <c r="QG387">
        <v>0</v>
      </c>
      <c r="QH387">
        <v>0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0</v>
      </c>
    </row>
    <row r="388" spans="1:467" x14ac:dyDescent="0.4">
      <c r="A388" t="str">
        <f>"9784087925425"</f>
        <v>9784087925425</v>
      </c>
      <c r="B388" t="str">
        <f>"4087925420"</f>
        <v>4087925420</v>
      </c>
      <c r="C388" t="s">
        <v>2619</v>
      </c>
      <c r="D388" t="s">
        <v>1909</v>
      </c>
      <c r="E388" t="s">
        <v>536</v>
      </c>
      <c r="F388" t="s">
        <v>1910</v>
      </c>
      <c r="G388" t="str">
        <f>"0979"</f>
        <v>0979</v>
      </c>
      <c r="H388" t="s">
        <v>481</v>
      </c>
      <c r="I388" t="s">
        <v>1856</v>
      </c>
      <c r="J388" t="s">
        <v>1856</v>
      </c>
      <c r="L388" s="1">
        <v>43315</v>
      </c>
      <c r="M388">
        <v>600</v>
      </c>
      <c r="N388">
        <v>8</v>
      </c>
      <c r="O388">
        <v>6</v>
      </c>
      <c r="P388">
        <v>8</v>
      </c>
      <c r="Q388">
        <v>6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2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2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1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1</v>
      </c>
      <c r="MM388">
        <v>0</v>
      </c>
      <c r="MN388">
        <v>1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0</v>
      </c>
      <c r="PD388">
        <v>0</v>
      </c>
      <c r="PE388">
        <v>0</v>
      </c>
      <c r="PF388">
        <v>0</v>
      </c>
      <c r="PG388">
        <v>0</v>
      </c>
      <c r="PH388">
        <v>0</v>
      </c>
      <c r="PI388">
        <v>0</v>
      </c>
      <c r="PJ388">
        <v>0</v>
      </c>
      <c r="PK388">
        <v>0</v>
      </c>
      <c r="PL388">
        <v>0</v>
      </c>
      <c r="PM388">
        <v>0</v>
      </c>
      <c r="PN388">
        <v>0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0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</v>
      </c>
      <c r="QQ388">
        <v>1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</row>
    <row r="389" spans="1:467" hidden="1" x14ac:dyDescent="0.4">
      <c r="A389" t="str">
        <f>"9784120055560"</f>
        <v>9784120055560</v>
      </c>
      <c r="B389" t="str">
        <f>"4120055566"</f>
        <v>4120055566</v>
      </c>
      <c r="C389" t="s">
        <v>2620</v>
      </c>
      <c r="D389" t="s">
        <v>2621</v>
      </c>
      <c r="E389" t="s">
        <v>540</v>
      </c>
      <c r="G389" t="str">
        <f>"0093"</f>
        <v>0093</v>
      </c>
      <c r="H389" t="s">
        <v>481</v>
      </c>
      <c r="I389" t="s">
        <v>1893</v>
      </c>
      <c r="J389" t="s">
        <v>488</v>
      </c>
      <c r="L389" s="1">
        <v>44781</v>
      </c>
      <c r="M389">
        <v>1650</v>
      </c>
      <c r="N389">
        <v>8</v>
      </c>
      <c r="O389">
        <v>5</v>
      </c>
      <c r="P389">
        <v>8</v>
      </c>
      <c r="Q389">
        <v>5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1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4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  <c r="NK389">
        <v>0</v>
      </c>
      <c r="NL389">
        <v>0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1</v>
      </c>
      <c r="OE389">
        <v>0</v>
      </c>
      <c r="OF389">
        <v>0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1</v>
      </c>
      <c r="PG389">
        <v>0</v>
      </c>
      <c r="PH389">
        <v>0</v>
      </c>
      <c r="PI389">
        <v>0</v>
      </c>
      <c r="PJ389">
        <v>0</v>
      </c>
      <c r="PK389">
        <v>0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0</v>
      </c>
      <c r="PT389">
        <v>0</v>
      </c>
      <c r="PU389">
        <v>0</v>
      </c>
      <c r="PV389">
        <v>0</v>
      </c>
      <c r="PW389">
        <v>0</v>
      </c>
      <c r="PX389">
        <v>0</v>
      </c>
      <c r="PY389">
        <v>0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</v>
      </c>
      <c r="QJ389">
        <v>0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0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0</v>
      </c>
    </row>
    <row r="390" spans="1:467" x14ac:dyDescent="0.4">
      <c r="A390" t="str">
        <f>"9784785972196"</f>
        <v>9784785972196</v>
      </c>
      <c r="B390" t="str">
        <f>"478597219X"</f>
        <v>478597219X</v>
      </c>
      <c r="C390" t="s">
        <v>2622</v>
      </c>
      <c r="D390" t="s">
        <v>2623</v>
      </c>
      <c r="E390" t="s">
        <v>2624</v>
      </c>
      <c r="F390" t="s">
        <v>2625</v>
      </c>
      <c r="G390" t="str">
        <f>"9979"</f>
        <v>9979</v>
      </c>
      <c r="H390" t="s">
        <v>1855</v>
      </c>
      <c r="I390" t="s">
        <v>1856</v>
      </c>
      <c r="J390" t="s">
        <v>1856</v>
      </c>
      <c r="L390" s="1">
        <v>44923</v>
      </c>
      <c r="M390">
        <v>670</v>
      </c>
      <c r="N390">
        <v>8</v>
      </c>
      <c r="O390">
        <v>8</v>
      </c>
      <c r="P390">
        <v>8</v>
      </c>
      <c r="Q390">
        <v>8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1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1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1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1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1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1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0</v>
      </c>
      <c r="MS390">
        <v>0</v>
      </c>
      <c r="MT390">
        <v>0</v>
      </c>
      <c r="MU390">
        <v>0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0</v>
      </c>
      <c r="NC390">
        <v>0</v>
      </c>
      <c r="ND390">
        <v>0</v>
      </c>
      <c r="NE390">
        <v>0</v>
      </c>
      <c r="NF390">
        <v>0</v>
      </c>
      <c r="NG390">
        <v>0</v>
      </c>
      <c r="NH390">
        <v>0</v>
      </c>
      <c r="NI390">
        <v>0</v>
      </c>
      <c r="NJ390">
        <v>0</v>
      </c>
      <c r="NK390">
        <v>0</v>
      </c>
      <c r="NL390">
        <v>0</v>
      </c>
      <c r="NM390">
        <v>0</v>
      </c>
      <c r="NN390">
        <v>0</v>
      </c>
      <c r="NO390">
        <v>0</v>
      </c>
      <c r="NP390">
        <v>0</v>
      </c>
      <c r="NQ390">
        <v>0</v>
      </c>
      <c r="NR390">
        <v>0</v>
      </c>
      <c r="NS390">
        <v>0</v>
      </c>
      <c r="NT390">
        <v>0</v>
      </c>
      <c r="NU390">
        <v>0</v>
      </c>
      <c r="NV390">
        <v>0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0</v>
      </c>
      <c r="OC390">
        <v>0</v>
      </c>
      <c r="OD390">
        <v>0</v>
      </c>
      <c r="OE390">
        <v>0</v>
      </c>
      <c r="OF390">
        <v>0</v>
      </c>
      <c r="OG390">
        <v>1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0</v>
      </c>
      <c r="OY390">
        <v>0</v>
      </c>
      <c r="OZ390">
        <v>0</v>
      </c>
      <c r="PA390">
        <v>0</v>
      </c>
      <c r="PB390">
        <v>0</v>
      </c>
      <c r="PC390">
        <v>0</v>
      </c>
      <c r="PD390">
        <v>0</v>
      </c>
      <c r="PE390">
        <v>0</v>
      </c>
      <c r="PF390">
        <v>0</v>
      </c>
      <c r="PG390">
        <v>0</v>
      </c>
      <c r="PH390">
        <v>0</v>
      </c>
      <c r="PI390">
        <v>0</v>
      </c>
      <c r="PJ390">
        <v>0</v>
      </c>
      <c r="PK390">
        <v>0</v>
      </c>
      <c r="PL390">
        <v>0</v>
      </c>
      <c r="PM390">
        <v>0</v>
      </c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</row>
    <row r="391" spans="1:467" x14ac:dyDescent="0.4">
      <c r="A391" t="str">
        <f>"9784065299487"</f>
        <v>9784065299487</v>
      </c>
      <c r="B391" t="str">
        <f>"4065299489"</f>
        <v>4065299489</v>
      </c>
      <c r="C391" t="s">
        <v>2626</v>
      </c>
      <c r="D391" t="s">
        <v>2627</v>
      </c>
      <c r="E391" t="s">
        <v>548</v>
      </c>
      <c r="F391" t="s">
        <v>2099</v>
      </c>
      <c r="G391" t="str">
        <f>"9979"</f>
        <v>9979</v>
      </c>
      <c r="H391" t="s">
        <v>1855</v>
      </c>
      <c r="I391" t="s">
        <v>1856</v>
      </c>
      <c r="J391" t="s">
        <v>1856</v>
      </c>
      <c r="L391" s="1">
        <v>44904</v>
      </c>
      <c r="M391">
        <v>650</v>
      </c>
      <c r="N391">
        <v>8</v>
      </c>
      <c r="O391">
        <v>6</v>
      </c>
      <c r="P391">
        <v>8</v>
      </c>
      <c r="Q391">
        <v>6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3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1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1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1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1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0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0</v>
      </c>
      <c r="OI391">
        <v>0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0</v>
      </c>
      <c r="PT391">
        <v>0</v>
      </c>
      <c r="PU391">
        <v>0</v>
      </c>
      <c r="PV391">
        <v>0</v>
      </c>
      <c r="PW391">
        <v>0</v>
      </c>
      <c r="PX391">
        <v>0</v>
      </c>
      <c r="PY391">
        <v>0</v>
      </c>
      <c r="PZ391">
        <v>0</v>
      </c>
      <c r="QA391">
        <v>0</v>
      </c>
      <c r="QB391">
        <v>1</v>
      </c>
      <c r="QC391">
        <v>0</v>
      </c>
      <c r="QD391">
        <v>0</v>
      </c>
      <c r="QE391">
        <v>0</v>
      </c>
      <c r="QF391">
        <v>0</v>
      </c>
      <c r="QG391">
        <v>0</v>
      </c>
      <c r="QH391">
        <v>0</v>
      </c>
      <c r="QI391">
        <v>0</v>
      </c>
      <c r="QJ391">
        <v>0</v>
      </c>
      <c r="QK391">
        <v>0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0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0</v>
      </c>
      <c r="QY391">
        <v>0</v>
      </c>
    </row>
    <row r="392" spans="1:467" hidden="1" x14ac:dyDescent="0.4">
      <c r="A392" t="str">
        <f>"9784152100207"</f>
        <v>9784152100207</v>
      </c>
      <c r="B392" t="str">
        <f>"4152100206"</f>
        <v>4152100206</v>
      </c>
      <c r="C392" t="s">
        <v>2628</v>
      </c>
      <c r="D392" t="s">
        <v>2080</v>
      </c>
      <c r="E392" t="s">
        <v>963</v>
      </c>
      <c r="G392" t="str">
        <f>"0097"</f>
        <v>0097</v>
      </c>
      <c r="H392" t="s">
        <v>481</v>
      </c>
      <c r="I392" t="s">
        <v>1893</v>
      </c>
      <c r="J392" t="s">
        <v>564</v>
      </c>
      <c r="L392" s="1">
        <v>44341</v>
      </c>
      <c r="M392">
        <v>1900</v>
      </c>
      <c r="N392">
        <v>7</v>
      </c>
      <c r="O392">
        <v>6</v>
      </c>
      <c r="P392">
        <v>7</v>
      </c>
      <c r="Q392">
        <v>6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1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1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1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1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2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0</v>
      </c>
      <c r="NK392">
        <v>0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0</v>
      </c>
      <c r="OC392">
        <v>0</v>
      </c>
      <c r="OD392">
        <v>1</v>
      </c>
      <c r="OE392">
        <v>0</v>
      </c>
      <c r="OF392">
        <v>0</v>
      </c>
      <c r="OG392">
        <v>0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  <c r="PB392">
        <v>0</v>
      </c>
      <c r="PC392">
        <v>0</v>
      </c>
      <c r="PD392">
        <v>0</v>
      </c>
      <c r="PE392">
        <v>0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0</v>
      </c>
      <c r="PL392">
        <v>0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0</v>
      </c>
      <c r="PT392">
        <v>0</v>
      </c>
      <c r="PU392">
        <v>0</v>
      </c>
      <c r="PV392">
        <v>0</v>
      </c>
      <c r="PW392">
        <v>0</v>
      </c>
      <c r="PX392">
        <v>0</v>
      </c>
      <c r="PY392">
        <v>0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0</v>
      </c>
      <c r="QI392">
        <v>0</v>
      </c>
      <c r="QJ392">
        <v>0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0</v>
      </c>
      <c r="QQ392">
        <v>0</v>
      </c>
      <c r="QR392">
        <v>0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</row>
    <row r="393" spans="1:467" hidden="1" x14ac:dyDescent="0.4">
      <c r="A393" t="str">
        <f>"9784540212390"</f>
        <v>9784540212390</v>
      </c>
      <c r="B393" t="str">
        <f>"4540212397"</f>
        <v>4540212397</v>
      </c>
      <c r="C393" t="s">
        <v>2629</v>
      </c>
      <c r="D393" t="s">
        <v>2630</v>
      </c>
      <c r="E393" t="s">
        <v>2631</v>
      </c>
      <c r="G393" t="str">
        <f>"2076"</f>
        <v>2076</v>
      </c>
      <c r="H393" t="s">
        <v>1991</v>
      </c>
      <c r="I393" t="s">
        <v>1893</v>
      </c>
      <c r="J393" t="s">
        <v>552</v>
      </c>
      <c r="L393" s="1">
        <v>44946</v>
      </c>
      <c r="M393">
        <v>2600</v>
      </c>
      <c r="N393">
        <v>7</v>
      </c>
      <c r="O393">
        <v>6</v>
      </c>
      <c r="P393">
        <v>7</v>
      </c>
      <c r="Q393">
        <v>6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1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1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1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1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0</v>
      </c>
      <c r="MQ393">
        <v>0</v>
      </c>
      <c r="MR393">
        <v>0</v>
      </c>
      <c r="MS393">
        <v>0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0</v>
      </c>
      <c r="NA393">
        <v>0</v>
      </c>
      <c r="NB393">
        <v>0</v>
      </c>
      <c r="NC393">
        <v>0</v>
      </c>
      <c r="ND393">
        <v>0</v>
      </c>
      <c r="NE393">
        <v>0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0</v>
      </c>
      <c r="NL393">
        <v>0</v>
      </c>
      <c r="NM393">
        <v>0</v>
      </c>
      <c r="NN393">
        <v>0</v>
      </c>
      <c r="NO393">
        <v>0</v>
      </c>
      <c r="NP393">
        <v>0</v>
      </c>
      <c r="NQ393">
        <v>0</v>
      </c>
      <c r="NR393">
        <v>0</v>
      </c>
      <c r="NS393">
        <v>0</v>
      </c>
      <c r="NT393">
        <v>0</v>
      </c>
      <c r="NU393">
        <v>0</v>
      </c>
      <c r="NV393">
        <v>0</v>
      </c>
      <c r="NW393">
        <v>0</v>
      </c>
      <c r="NX393">
        <v>0</v>
      </c>
      <c r="NY393">
        <v>0</v>
      </c>
      <c r="NZ393">
        <v>0</v>
      </c>
      <c r="OA393">
        <v>0</v>
      </c>
      <c r="OB393">
        <v>1</v>
      </c>
      <c r="OC393">
        <v>0</v>
      </c>
      <c r="OD393">
        <v>0</v>
      </c>
      <c r="OE393">
        <v>0</v>
      </c>
      <c r="OF393">
        <v>0</v>
      </c>
      <c r="OG393">
        <v>0</v>
      </c>
      <c r="OH393">
        <v>0</v>
      </c>
      <c r="OI393">
        <v>0</v>
      </c>
      <c r="OJ393">
        <v>0</v>
      </c>
      <c r="OK393">
        <v>2</v>
      </c>
      <c r="OL393">
        <v>0</v>
      </c>
      <c r="OM393">
        <v>0</v>
      </c>
      <c r="ON393">
        <v>0</v>
      </c>
      <c r="OO393">
        <v>0</v>
      </c>
      <c r="OP393">
        <v>0</v>
      </c>
      <c r="OQ393">
        <v>0</v>
      </c>
      <c r="OR393">
        <v>0</v>
      </c>
      <c r="OS393">
        <v>0</v>
      </c>
      <c r="OT393">
        <v>0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0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0</v>
      </c>
      <c r="PL393">
        <v>0</v>
      </c>
      <c r="PM393">
        <v>0</v>
      </c>
      <c r="PN393">
        <v>0</v>
      </c>
      <c r="PO393">
        <v>0</v>
      </c>
      <c r="PP393">
        <v>0</v>
      </c>
      <c r="PQ393">
        <v>0</v>
      </c>
      <c r="PR393">
        <v>0</v>
      </c>
      <c r="PS393">
        <v>0</v>
      </c>
      <c r="PT393">
        <v>0</v>
      </c>
      <c r="PU393">
        <v>0</v>
      </c>
      <c r="PV393">
        <v>0</v>
      </c>
      <c r="PW393">
        <v>0</v>
      </c>
      <c r="PX393">
        <v>0</v>
      </c>
      <c r="PY393">
        <v>0</v>
      </c>
      <c r="PZ393">
        <v>0</v>
      </c>
      <c r="QA393">
        <v>0</v>
      </c>
      <c r="QB393">
        <v>0</v>
      </c>
      <c r="QC393">
        <v>0</v>
      </c>
      <c r="QD393">
        <v>0</v>
      </c>
      <c r="QE393">
        <v>0</v>
      </c>
      <c r="QF393">
        <v>0</v>
      </c>
      <c r="QG393">
        <v>0</v>
      </c>
      <c r="QH393">
        <v>0</v>
      </c>
      <c r="QI393">
        <v>0</v>
      </c>
      <c r="QJ393">
        <v>0</v>
      </c>
      <c r="QK393">
        <v>0</v>
      </c>
      <c r="QL393">
        <v>0</v>
      </c>
      <c r="QM393">
        <v>0</v>
      </c>
      <c r="QN393">
        <v>0</v>
      </c>
      <c r="QO393">
        <v>0</v>
      </c>
      <c r="QP393">
        <v>0</v>
      </c>
      <c r="QQ393">
        <v>0</v>
      </c>
      <c r="QR393">
        <v>0</v>
      </c>
      <c r="QS393">
        <v>0</v>
      </c>
      <c r="QT393">
        <v>0</v>
      </c>
      <c r="QU393">
        <v>0</v>
      </c>
      <c r="QV393">
        <v>0</v>
      </c>
      <c r="QW393">
        <v>0</v>
      </c>
      <c r="QX393">
        <v>0</v>
      </c>
      <c r="QY393">
        <v>0</v>
      </c>
    </row>
    <row r="394" spans="1:467" hidden="1" x14ac:dyDescent="0.4">
      <c r="A394" t="str">
        <f>"9784791775118"</f>
        <v>9784791775118</v>
      </c>
      <c r="B394" t="str">
        <f>"4791775112"</f>
        <v>4791775112</v>
      </c>
      <c r="C394" t="s">
        <v>2632</v>
      </c>
      <c r="D394" t="s">
        <v>2633</v>
      </c>
      <c r="E394" t="s">
        <v>1883</v>
      </c>
      <c r="G394" t="str">
        <f>"0074"</f>
        <v>0074</v>
      </c>
      <c r="H394" t="s">
        <v>481</v>
      </c>
      <c r="I394" t="s">
        <v>1893</v>
      </c>
      <c r="J394" t="s">
        <v>1393</v>
      </c>
      <c r="L394" s="1">
        <v>44886</v>
      </c>
      <c r="M394">
        <v>2400</v>
      </c>
      <c r="N394">
        <v>7</v>
      </c>
      <c r="O394">
        <v>6</v>
      </c>
      <c r="P394">
        <v>7</v>
      </c>
      <c r="Q394">
        <v>6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1</v>
      </c>
      <c r="CI394">
        <v>1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2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1</v>
      </c>
      <c r="FU394">
        <v>0</v>
      </c>
      <c r="FV394">
        <v>0</v>
      </c>
      <c r="FW394">
        <v>0</v>
      </c>
      <c r="FX394">
        <v>1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0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0</v>
      </c>
      <c r="PD394">
        <v>0</v>
      </c>
      <c r="PE394">
        <v>0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0</v>
      </c>
      <c r="PL394">
        <v>0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0</v>
      </c>
      <c r="PT394">
        <v>0</v>
      </c>
      <c r="PU394">
        <v>0</v>
      </c>
      <c r="PV394">
        <v>0</v>
      </c>
      <c r="PW394">
        <v>0</v>
      </c>
      <c r="PX394">
        <v>0</v>
      </c>
      <c r="PY394">
        <v>0</v>
      </c>
      <c r="PZ394">
        <v>0</v>
      </c>
      <c r="QA394">
        <v>0</v>
      </c>
      <c r="QB394">
        <v>0</v>
      </c>
      <c r="QC394">
        <v>0</v>
      </c>
      <c r="QD394">
        <v>0</v>
      </c>
      <c r="QE394">
        <v>0</v>
      </c>
      <c r="QF394">
        <v>0</v>
      </c>
      <c r="QG394">
        <v>0</v>
      </c>
      <c r="QH394">
        <v>0</v>
      </c>
      <c r="QI394">
        <v>0</v>
      </c>
      <c r="QJ394">
        <v>0</v>
      </c>
      <c r="QK394">
        <v>0</v>
      </c>
      <c r="QL394">
        <v>0</v>
      </c>
      <c r="QM394">
        <v>0</v>
      </c>
      <c r="QN394">
        <v>0</v>
      </c>
      <c r="QO394">
        <v>0</v>
      </c>
      <c r="QP394">
        <v>0</v>
      </c>
      <c r="QQ394">
        <v>0</v>
      </c>
      <c r="QR394">
        <v>0</v>
      </c>
      <c r="QS394">
        <v>0</v>
      </c>
      <c r="QT394">
        <v>0</v>
      </c>
      <c r="QU394">
        <v>0</v>
      </c>
      <c r="QV394">
        <v>0</v>
      </c>
      <c r="QW394">
        <v>0</v>
      </c>
      <c r="QX394">
        <v>0</v>
      </c>
      <c r="QY394">
        <v>0</v>
      </c>
    </row>
    <row r="395" spans="1:467" hidden="1" x14ac:dyDescent="0.4">
      <c r="A395" t="str">
        <f>"9784065299241"</f>
        <v>9784065299241</v>
      </c>
      <c r="B395" t="str">
        <f>"4065299241"</f>
        <v>4065299241</v>
      </c>
      <c r="C395" t="s">
        <v>2634</v>
      </c>
      <c r="D395" t="s">
        <v>2635</v>
      </c>
      <c r="E395" t="s">
        <v>548</v>
      </c>
      <c r="G395" t="str">
        <f>"0093"</f>
        <v>0093</v>
      </c>
      <c r="H395" t="s">
        <v>481</v>
      </c>
      <c r="I395" t="s">
        <v>1893</v>
      </c>
      <c r="J395" t="s">
        <v>488</v>
      </c>
      <c r="L395" s="1">
        <v>44849</v>
      </c>
      <c r="M395">
        <v>1600</v>
      </c>
      <c r="N395">
        <v>7</v>
      </c>
      <c r="O395">
        <v>6</v>
      </c>
      <c r="P395">
        <v>7</v>
      </c>
      <c r="Q395">
        <v>6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1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2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1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1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1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0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0</v>
      </c>
      <c r="PN395">
        <v>0</v>
      </c>
      <c r="PO395">
        <v>0</v>
      </c>
      <c r="PP395">
        <v>0</v>
      </c>
      <c r="PQ395">
        <v>0</v>
      </c>
      <c r="PR395">
        <v>0</v>
      </c>
      <c r="PS395">
        <v>0</v>
      </c>
      <c r="PT395">
        <v>0</v>
      </c>
      <c r="PU395">
        <v>0</v>
      </c>
      <c r="PV395">
        <v>0</v>
      </c>
      <c r="PW395">
        <v>0</v>
      </c>
      <c r="PX395">
        <v>0</v>
      </c>
      <c r="PY395">
        <v>0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</v>
      </c>
      <c r="QG395">
        <v>0</v>
      </c>
      <c r="QH395">
        <v>0</v>
      </c>
      <c r="QI395">
        <v>0</v>
      </c>
      <c r="QJ395">
        <v>0</v>
      </c>
      <c r="QK395">
        <v>0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0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</row>
    <row r="396" spans="1:467" x14ac:dyDescent="0.4">
      <c r="A396" t="str">
        <f>"9784065287682"</f>
        <v>9784065287682</v>
      </c>
      <c r="B396" t="str">
        <f>"4065287685"</f>
        <v>4065287685</v>
      </c>
      <c r="C396" t="s">
        <v>2636</v>
      </c>
      <c r="D396" t="s">
        <v>2637</v>
      </c>
      <c r="E396" t="s">
        <v>548</v>
      </c>
      <c r="F396" t="s">
        <v>2638</v>
      </c>
      <c r="G396" t="str">
        <f>"9979"</f>
        <v>9979</v>
      </c>
      <c r="H396" t="s">
        <v>1855</v>
      </c>
      <c r="I396" t="s">
        <v>1856</v>
      </c>
      <c r="J396" t="s">
        <v>1856</v>
      </c>
      <c r="L396" s="1">
        <v>44778</v>
      </c>
      <c r="M396">
        <v>680</v>
      </c>
      <c r="N396">
        <v>7</v>
      </c>
      <c r="O396">
        <v>5</v>
      </c>
      <c r="P396">
        <v>7</v>
      </c>
      <c r="Q396">
        <v>5</v>
      </c>
      <c r="R396">
        <v>0</v>
      </c>
      <c r="S396">
        <v>0</v>
      </c>
      <c r="T396">
        <v>2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2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1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0</v>
      </c>
      <c r="MT396">
        <v>0</v>
      </c>
      <c r="MU396">
        <v>0</v>
      </c>
      <c r="MV396">
        <v>0</v>
      </c>
      <c r="MW396">
        <v>0</v>
      </c>
      <c r="MX396">
        <v>0</v>
      </c>
      <c r="MY396">
        <v>0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1</v>
      </c>
      <c r="NF396">
        <v>0</v>
      </c>
      <c r="NG396">
        <v>0</v>
      </c>
      <c r="NH396">
        <v>0</v>
      </c>
      <c r="NI396">
        <v>0</v>
      </c>
      <c r="NJ396">
        <v>0</v>
      </c>
      <c r="NK396">
        <v>0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0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0</v>
      </c>
      <c r="NZ396">
        <v>0</v>
      </c>
      <c r="OA396">
        <v>0</v>
      </c>
      <c r="OB396">
        <v>0</v>
      </c>
      <c r="OC396">
        <v>0</v>
      </c>
      <c r="OD396">
        <v>0</v>
      </c>
      <c r="OE396">
        <v>0</v>
      </c>
      <c r="OF396">
        <v>0</v>
      </c>
      <c r="OG396">
        <v>0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0</v>
      </c>
      <c r="PL396">
        <v>0</v>
      </c>
      <c r="PM396">
        <v>0</v>
      </c>
      <c r="PN396">
        <v>0</v>
      </c>
      <c r="PO396">
        <v>0</v>
      </c>
      <c r="PP396">
        <v>0</v>
      </c>
      <c r="PQ396">
        <v>0</v>
      </c>
      <c r="PR396">
        <v>0</v>
      </c>
      <c r="PS396">
        <v>0</v>
      </c>
      <c r="PT396">
        <v>0</v>
      </c>
      <c r="PU396">
        <v>0</v>
      </c>
      <c r="PV396">
        <v>0</v>
      </c>
      <c r="PW396">
        <v>0</v>
      </c>
      <c r="PX396">
        <v>0</v>
      </c>
      <c r="PY396">
        <v>0</v>
      </c>
      <c r="PZ396">
        <v>0</v>
      </c>
      <c r="QA396">
        <v>0</v>
      </c>
      <c r="QB396">
        <v>0</v>
      </c>
      <c r="QC396">
        <v>0</v>
      </c>
      <c r="QD396">
        <v>0</v>
      </c>
      <c r="QE396">
        <v>0</v>
      </c>
      <c r="QF396">
        <v>0</v>
      </c>
      <c r="QG396">
        <v>0</v>
      </c>
      <c r="QH396">
        <v>0</v>
      </c>
      <c r="QI396">
        <v>0</v>
      </c>
      <c r="QJ396">
        <v>0</v>
      </c>
      <c r="QK396">
        <v>0</v>
      </c>
      <c r="QL396">
        <v>0</v>
      </c>
      <c r="QM396">
        <v>0</v>
      </c>
      <c r="QN396">
        <v>0</v>
      </c>
      <c r="QO396">
        <v>0</v>
      </c>
      <c r="QP396">
        <v>0</v>
      </c>
      <c r="QQ396">
        <v>0</v>
      </c>
      <c r="QR396">
        <v>0</v>
      </c>
      <c r="QS396">
        <v>0</v>
      </c>
      <c r="QT396">
        <v>0</v>
      </c>
      <c r="QU396">
        <v>0</v>
      </c>
      <c r="QV396">
        <v>0</v>
      </c>
      <c r="QW396">
        <v>0</v>
      </c>
      <c r="QX396">
        <v>0</v>
      </c>
      <c r="QY396">
        <v>0</v>
      </c>
    </row>
    <row r="397" spans="1:467" hidden="1" x14ac:dyDescent="0.4">
      <c r="A397" t="str">
        <f>"9784044005030"</f>
        <v>9784044005030</v>
      </c>
      <c r="B397" t="str">
        <f>"4044005036"</f>
        <v>4044005036</v>
      </c>
      <c r="C397" t="s">
        <v>2639</v>
      </c>
      <c r="D397" t="s">
        <v>486</v>
      </c>
      <c r="E397" t="s">
        <v>597</v>
      </c>
      <c r="G397" t="str">
        <f>"0392"</f>
        <v>0392</v>
      </c>
      <c r="H397" t="s">
        <v>481</v>
      </c>
      <c r="I397" t="s">
        <v>1877</v>
      </c>
      <c r="J397" t="s">
        <v>492</v>
      </c>
      <c r="L397" s="1">
        <v>44916</v>
      </c>
      <c r="M397">
        <v>5450</v>
      </c>
      <c r="N397">
        <v>7</v>
      </c>
      <c r="O397">
        <v>7</v>
      </c>
      <c r="P397">
        <v>7</v>
      </c>
      <c r="Q397">
        <v>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1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1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1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1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1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0</v>
      </c>
      <c r="NL397">
        <v>0</v>
      </c>
      <c r="NM397">
        <v>0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1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0</v>
      </c>
      <c r="PB397">
        <v>0</v>
      </c>
      <c r="PC397">
        <v>0</v>
      </c>
      <c r="PD397">
        <v>0</v>
      </c>
      <c r="PE397">
        <v>0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0</v>
      </c>
      <c r="PL397">
        <v>0</v>
      </c>
      <c r="PM397">
        <v>1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0</v>
      </c>
      <c r="PT397">
        <v>0</v>
      </c>
      <c r="PU397">
        <v>0</v>
      </c>
      <c r="PV397">
        <v>0</v>
      </c>
      <c r="PW397">
        <v>0</v>
      </c>
      <c r="PX397">
        <v>0</v>
      </c>
      <c r="PY397">
        <v>0</v>
      </c>
      <c r="PZ397">
        <v>0</v>
      </c>
      <c r="QA397">
        <v>0</v>
      </c>
      <c r="QB397">
        <v>0</v>
      </c>
      <c r="QC397">
        <v>0</v>
      </c>
      <c r="QD397">
        <v>0</v>
      </c>
      <c r="QE397">
        <v>0</v>
      </c>
      <c r="QF397">
        <v>0</v>
      </c>
      <c r="QG397">
        <v>0</v>
      </c>
      <c r="QH397">
        <v>0</v>
      </c>
      <c r="QI397">
        <v>0</v>
      </c>
      <c r="QJ397">
        <v>0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0</v>
      </c>
      <c r="QS397">
        <v>0</v>
      </c>
      <c r="QT397">
        <v>0</v>
      </c>
      <c r="QU397">
        <v>0</v>
      </c>
      <c r="QV397">
        <v>0</v>
      </c>
      <c r="QW397">
        <v>0</v>
      </c>
      <c r="QX397">
        <v>0</v>
      </c>
      <c r="QY397">
        <v>0</v>
      </c>
    </row>
    <row r="398" spans="1:467" hidden="1" x14ac:dyDescent="0.4">
      <c r="A398" t="str">
        <f>"9784794973078"</f>
        <v>9784794973078</v>
      </c>
      <c r="B398" t="str">
        <f>"4794973071"</f>
        <v>4794973071</v>
      </c>
      <c r="C398" t="s">
        <v>2640</v>
      </c>
      <c r="D398" t="s">
        <v>2641</v>
      </c>
      <c r="E398" t="s">
        <v>2040</v>
      </c>
      <c r="F398" t="s">
        <v>2642</v>
      </c>
      <c r="G398" t="str">
        <f>"0095"</f>
        <v>0095</v>
      </c>
      <c r="H398" t="s">
        <v>481</v>
      </c>
      <c r="I398" t="s">
        <v>1893</v>
      </c>
      <c r="J398" t="s">
        <v>509</v>
      </c>
      <c r="L398" s="1">
        <v>44678</v>
      </c>
      <c r="M398">
        <v>1700</v>
      </c>
      <c r="N398">
        <v>7</v>
      </c>
      <c r="O398">
        <v>5</v>
      </c>
      <c r="P398">
        <v>7</v>
      </c>
      <c r="Q398">
        <v>5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2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1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1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2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0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0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0</v>
      </c>
      <c r="PB398">
        <v>0</v>
      </c>
      <c r="PC398">
        <v>0</v>
      </c>
      <c r="PD398">
        <v>0</v>
      </c>
      <c r="PE398">
        <v>0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0</v>
      </c>
      <c r="PL398">
        <v>0</v>
      </c>
      <c r="PM398">
        <v>0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0</v>
      </c>
      <c r="PT398">
        <v>0</v>
      </c>
      <c r="PU398">
        <v>0</v>
      </c>
      <c r="PV398">
        <v>0</v>
      </c>
      <c r="PW398">
        <v>0</v>
      </c>
      <c r="PX398">
        <v>0</v>
      </c>
      <c r="PY398">
        <v>0</v>
      </c>
      <c r="PZ398">
        <v>0</v>
      </c>
      <c r="QA398">
        <v>0</v>
      </c>
      <c r="QB398">
        <v>0</v>
      </c>
      <c r="QC398">
        <v>0</v>
      </c>
      <c r="QD398">
        <v>0</v>
      </c>
      <c r="QE398">
        <v>0</v>
      </c>
      <c r="QF398">
        <v>0</v>
      </c>
      <c r="QG398">
        <v>0</v>
      </c>
      <c r="QH398">
        <v>0</v>
      </c>
      <c r="QI398">
        <v>0</v>
      </c>
      <c r="QJ398">
        <v>0</v>
      </c>
      <c r="QK398">
        <v>0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0</v>
      </c>
      <c r="QS398">
        <v>0</v>
      </c>
      <c r="QT398">
        <v>0</v>
      </c>
      <c r="QU398">
        <v>0</v>
      </c>
      <c r="QV398">
        <v>0</v>
      </c>
      <c r="QW398">
        <v>0</v>
      </c>
      <c r="QX398">
        <v>0</v>
      </c>
      <c r="QY398">
        <v>0</v>
      </c>
    </row>
    <row r="399" spans="1:467" x14ac:dyDescent="0.4">
      <c r="A399" t="str">
        <f>"9784065289815"</f>
        <v>9784065289815</v>
      </c>
      <c r="B399" t="str">
        <f>"4065289815"</f>
        <v>4065289815</v>
      </c>
      <c r="C399" t="s">
        <v>2643</v>
      </c>
      <c r="D399" t="s">
        <v>1902</v>
      </c>
      <c r="E399" t="s">
        <v>548</v>
      </c>
      <c r="F399" t="s">
        <v>1862</v>
      </c>
      <c r="G399" t="str">
        <f>"9979"</f>
        <v>9979</v>
      </c>
      <c r="H399" t="s">
        <v>1855</v>
      </c>
      <c r="I399" t="s">
        <v>1856</v>
      </c>
      <c r="J399" t="s">
        <v>1856</v>
      </c>
      <c r="L399" s="1">
        <v>44851</v>
      </c>
      <c r="M399">
        <v>480</v>
      </c>
      <c r="N399">
        <v>7</v>
      </c>
      <c r="O399">
        <v>7</v>
      </c>
      <c r="P399">
        <v>7</v>
      </c>
      <c r="Q399">
        <v>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1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1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1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1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1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1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  <c r="NK399">
        <v>0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0</v>
      </c>
      <c r="NU399">
        <v>0</v>
      </c>
      <c r="NV399">
        <v>0</v>
      </c>
      <c r="NW399">
        <v>0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0</v>
      </c>
      <c r="OI399">
        <v>0</v>
      </c>
      <c r="OJ399">
        <v>0</v>
      </c>
      <c r="OK399">
        <v>0</v>
      </c>
      <c r="OL399">
        <v>0</v>
      </c>
      <c r="OM399">
        <v>0</v>
      </c>
      <c r="ON399">
        <v>0</v>
      </c>
      <c r="OO399">
        <v>0</v>
      </c>
      <c r="OP399">
        <v>0</v>
      </c>
      <c r="OQ399">
        <v>0</v>
      </c>
      <c r="OR399">
        <v>0</v>
      </c>
      <c r="OS399">
        <v>0</v>
      </c>
      <c r="OT399">
        <v>0</v>
      </c>
      <c r="OU399">
        <v>0</v>
      </c>
      <c r="OV399">
        <v>0</v>
      </c>
      <c r="OW399">
        <v>0</v>
      </c>
      <c r="OX399">
        <v>0</v>
      </c>
      <c r="OY399">
        <v>0</v>
      </c>
      <c r="OZ399">
        <v>0</v>
      </c>
      <c r="PA399">
        <v>0</v>
      </c>
      <c r="PB399">
        <v>0</v>
      </c>
      <c r="PC399">
        <v>0</v>
      </c>
      <c r="PD399">
        <v>0</v>
      </c>
      <c r="PE399">
        <v>0</v>
      </c>
      <c r="PF399">
        <v>0</v>
      </c>
      <c r="PG399">
        <v>0</v>
      </c>
      <c r="PH399">
        <v>0</v>
      </c>
      <c r="PI399">
        <v>0</v>
      </c>
      <c r="PJ399">
        <v>0</v>
      </c>
      <c r="PK399">
        <v>0</v>
      </c>
      <c r="PL399">
        <v>0</v>
      </c>
      <c r="PM399">
        <v>0</v>
      </c>
      <c r="PN399">
        <v>0</v>
      </c>
      <c r="PO399">
        <v>0</v>
      </c>
      <c r="PP399">
        <v>0</v>
      </c>
      <c r="PQ399">
        <v>0</v>
      </c>
      <c r="PR399">
        <v>0</v>
      </c>
      <c r="PS399">
        <v>0</v>
      </c>
      <c r="PT399">
        <v>0</v>
      </c>
      <c r="PU399">
        <v>0</v>
      </c>
      <c r="PV399">
        <v>0</v>
      </c>
      <c r="PW399">
        <v>0</v>
      </c>
      <c r="PX399">
        <v>0</v>
      </c>
      <c r="PY399">
        <v>0</v>
      </c>
      <c r="PZ399">
        <v>0</v>
      </c>
      <c r="QA399">
        <v>1</v>
      </c>
      <c r="QB399">
        <v>0</v>
      </c>
      <c r="QC399">
        <v>0</v>
      </c>
      <c r="QD399">
        <v>0</v>
      </c>
      <c r="QE399">
        <v>0</v>
      </c>
      <c r="QF399">
        <v>0</v>
      </c>
      <c r="QG399">
        <v>0</v>
      </c>
      <c r="QH399">
        <v>0</v>
      </c>
      <c r="QI399">
        <v>0</v>
      </c>
      <c r="QJ399">
        <v>0</v>
      </c>
      <c r="QK399">
        <v>0</v>
      </c>
      <c r="QL399">
        <v>0</v>
      </c>
      <c r="QM399">
        <v>0</v>
      </c>
      <c r="QN399">
        <v>0</v>
      </c>
      <c r="QO399">
        <v>0</v>
      </c>
      <c r="QP399">
        <v>0</v>
      </c>
      <c r="QQ399">
        <v>0</v>
      </c>
      <c r="QR399">
        <v>0</v>
      </c>
      <c r="QS399">
        <v>0</v>
      </c>
      <c r="QT399">
        <v>0</v>
      </c>
      <c r="QU399">
        <v>0</v>
      </c>
      <c r="QV399">
        <v>0</v>
      </c>
      <c r="QW399">
        <v>0</v>
      </c>
      <c r="QX399">
        <v>0</v>
      </c>
      <c r="QY399">
        <v>0</v>
      </c>
    </row>
    <row r="400" spans="1:467" hidden="1" x14ac:dyDescent="0.4">
      <c r="A400" t="str">
        <f>"9784750517674"</f>
        <v>9784750517674</v>
      </c>
      <c r="B400" t="str">
        <f>"4750517674"</f>
        <v>4750517674</v>
      </c>
      <c r="C400" t="s">
        <v>2644</v>
      </c>
      <c r="D400" t="s">
        <v>2645</v>
      </c>
      <c r="E400" t="s">
        <v>2466</v>
      </c>
      <c r="G400" t="str">
        <f>"0095"</f>
        <v>0095</v>
      </c>
      <c r="H400" t="s">
        <v>481</v>
      </c>
      <c r="I400" t="s">
        <v>1893</v>
      </c>
      <c r="J400" t="s">
        <v>509</v>
      </c>
      <c r="L400" s="1">
        <v>44833</v>
      </c>
      <c r="M400">
        <v>1800</v>
      </c>
      <c r="N400">
        <v>7</v>
      </c>
      <c r="O400">
        <v>6</v>
      </c>
      <c r="P400">
        <v>7</v>
      </c>
      <c r="Q400">
        <v>6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1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1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1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1</v>
      </c>
      <c r="HV400">
        <v>2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1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</v>
      </c>
      <c r="OV400">
        <v>0</v>
      </c>
      <c r="OW400">
        <v>0</v>
      </c>
      <c r="OX400">
        <v>0</v>
      </c>
      <c r="OY400">
        <v>0</v>
      </c>
      <c r="OZ400">
        <v>0</v>
      </c>
      <c r="PA400">
        <v>0</v>
      </c>
      <c r="PB400">
        <v>0</v>
      </c>
      <c r="PC400">
        <v>0</v>
      </c>
      <c r="PD400">
        <v>0</v>
      </c>
      <c r="PE400">
        <v>0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0</v>
      </c>
      <c r="PL400">
        <v>0</v>
      </c>
      <c r="PM400">
        <v>0</v>
      </c>
      <c r="PN400">
        <v>0</v>
      </c>
      <c r="PO400">
        <v>0</v>
      </c>
      <c r="PP400">
        <v>0</v>
      </c>
      <c r="PQ400">
        <v>0</v>
      </c>
      <c r="PR400">
        <v>0</v>
      </c>
      <c r="PS400">
        <v>0</v>
      </c>
      <c r="PT400">
        <v>0</v>
      </c>
      <c r="PU400">
        <v>0</v>
      </c>
      <c r="PV400">
        <v>0</v>
      </c>
      <c r="PW400">
        <v>0</v>
      </c>
      <c r="PX400">
        <v>0</v>
      </c>
      <c r="PY400">
        <v>0</v>
      </c>
      <c r="PZ400">
        <v>0</v>
      </c>
      <c r="QA400">
        <v>0</v>
      </c>
      <c r="QB400">
        <v>0</v>
      </c>
      <c r="QC400">
        <v>0</v>
      </c>
      <c r="QD400">
        <v>0</v>
      </c>
      <c r="QE400">
        <v>0</v>
      </c>
      <c r="QF400">
        <v>0</v>
      </c>
      <c r="QG400">
        <v>0</v>
      </c>
      <c r="QH400">
        <v>0</v>
      </c>
      <c r="QI400">
        <v>0</v>
      </c>
      <c r="QJ400">
        <v>0</v>
      </c>
      <c r="QK400">
        <v>0</v>
      </c>
      <c r="QL400">
        <v>0</v>
      </c>
      <c r="QM400">
        <v>0</v>
      </c>
      <c r="QN400">
        <v>0</v>
      </c>
      <c r="QO400">
        <v>0</v>
      </c>
      <c r="QP400">
        <v>0</v>
      </c>
      <c r="QQ400">
        <v>0</v>
      </c>
      <c r="QR400">
        <v>0</v>
      </c>
      <c r="QS400">
        <v>0</v>
      </c>
      <c r="QT400">
        <v>0</v>
      </c>
      <c r="QU400">
        <v>0</v>
      </c>
      <c r="QV400">
        <v>0</v>
      </c>
      <c r="QW400">
        <v>0</v>
      </c>
      <c r="QX400">
        <v>0</v>
      </c>
      <c r="QY400">
        <v>0</v>
      </c>
    </row>
    <row r="401" spans="1:467" x14ac:dyDescent="0.4">
      <c r="A401" t="str">
        <f>"9784088833880"</f>
        <v>9784088833880</v>
      </c>
      <c r="B401" t="str">
        <f>"4088833880"</f>
        <v>4088833880</v>
      </c>
      <c r="C401" t="s">
        <v>2646</v>
      </c>
      <c r="D401" t="s">
        <v>1900</v>
      </c>
      <c r="E401" t="s">
        <v>536</v>
      </c>
      <c r="F401" t="s">
        <v>1854</v>
      </c>
      <c r="G401" t="str">
        <f>"9979"</f>
        <v>9979</v>
      </c>
      <c r="H401" t="s">
        <v>1855</v>
      </c>
      <c r="I401" t="s">
        <v>1856</v>
      </c>
      <c r="J401" t="s">
        <v>1856</v>
      </c>
      <c r="L401" s="1">
        <v>44869</v>
      </c>
      <c r="M401">
        <v>480</v>
      </c>
      <c r="N401">
        <v>7</v>
      </c>
      <c r="O401">
        <v>7</v>
      </c>
      <c r="P401">
        <v>7</v>
      </c>
      <c r="Q401">
        <v>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1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1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1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1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1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1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1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0</v>
      </c>
      <c r="NL401">
        <v>0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0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0</v>
      </c>
      <c r="OM401">
        <v>0</v>
      </c>
      <c r="ON401">
        <v>0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0</v>
      </c>
      <c r="OY401">
        <v>0</v>
      </c>
      <c r="OZ401">
        <v>0</v>
      </c>
      <c r="PA401">
        <v>0</v>
      </c>
      <c r="PB401">
        <v>0</v>
      </c>
      <c r="PC401">
        <v>0</v>
      </c>
      <c r="PD401">
        <v>0</v>
      </c>
      <c r="PE401">
        <v>0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0</v>
      </c>
      <c r="PL401">
        <v>0</v>
      </c>
      <c r="PM401">
        <v>0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0</v>
      </c>
      <c r="PT401">
        <v>0</v>
      </c>
      <c r="PU401">
        <v>0</v>
      </c>
      <c r="PV401">
        <v>0</v>
      </c>
      <c r="PW401">
        <v>0</v>
      </c>
      <c r="PX401">
        <v>0</v>
      </c>
      <c r="PY401">
        <v>0</v>
      </c>
      <c r="PZ401">
        <v>0</v>
      </c>
      <c r="QA401">
        <v>0</v>
      </c>
      <c r="QB401">
        <v>0</v>
      </c>
      <c r="QC401">
        <v>0</v>
      </c>
      <c r="QD401">
        <v>0</v>
      </c>
      <c r="QE401">
        <v>0</v>
      </c>
      <c r="QF401">
        <v>0</v>
      </c>
      <c r="QG401">
        <v>0</v>
      </c>
      <c r="QH401">
        <v>0</v>
      </c>
      <c r="QI401">
        <v>0</v>
      </c>
      <c r="QJ401">
        <v>0</v>
      </c>
      <c r="QK401">
        <v>0</v>
      </c>
      <c r="QL401">
        <v>0</v>
      </c>
      <c r="QM401">
        <v>0</v>
      </c>
      <c r="QN401">
        <v>0</v>
      </c>
      <c r="QO401">
        <v>0</v>
      </c>
      <c r="QP401">
        <v>0</v>
      </c>
      <c r="QQ401">
        <v>0</v>
      </c>
      <c r="QR401">
        <v>0</v>
      </c>
      <c r="QS401">
        <v>0</v>
      </c>
      <c r="QT401">
        <v>0</v>
      </c>
      <c r="QU401">
        <v>0</v>
      </c>
      <c r="QV401">
        <v>0</v>
      </c>
      <c r="QW401">
        <v>0</v>
      </c>
      <c r="QX401">
        <v>0</v>
      </c>
      <c r="QY401">
        <v>0</v>
      </c>
    </row>
    <row r="402" spans="1:467" x14ac:dyDescent="0.4">
      <c r="A402" t="str">
        <f>"9784088820767"</f>
        <v>9784088820767</v>
      </c>
      <c r="B402" t="str">
        <f>"4088820762"</f>
        <v>4088820762</v>
      </c>
      <c r="C402" t="s">
        <v>2647</v>
      </c>
      <c r="D402" t="s">
        <v>1869</v>
      </c>
      <c r="E402" t="s">
        <v>536</v>
      </c>
      <c r="F402" t="s">
        <v>1854</v>
      </c>
      <c r="G402" t="str">
        <f>"9979"</f>
        <v>9979</v>
      </c>
      <c r="H402" t="s">
        <v>1855</v>
      </c>
      <c r="I402" t="s">
        <v>1856</v>
      </c>
      <c r="J402" t="s">
        <v>1856</v>
      </c>
      <c r="L402" s="1">
        <v>43742</v>
      </c>
      <c r="M402">
        <v>440</v>
      </c>
      <c r="N402">
        <v>7</v>
      </c>
      <c r="O402">
        <v>6</v>
      </c>
      <c r="P402">
        <v>7</v>
      </c>
      <c r="Q402">
        <v>6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1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1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1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2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1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1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  <c r="NK402">
        <v>0</v>
      </c>
      <c r="NL402">
        <v>0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0</v>
      </c>
      <c r="OM402">
        <v>0</v>
      </c>
      <c r="ON402">
        <v>0</v>
      </c>
      <c r="OO402">
        <v>0</v>
      </c>
      <c r="OP402">
        <v>0</v>
      </c>
      <c r="OQ402">
        <v>0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0</v>
      </c>
      <c r="OY402">
        <v>0</v>
      </c>
      <c r="OZ402">
        <v>0</v>
      </c>
      <c r="PA402">
        <v>0</v>
      </c>
      <c r="PB402">
        <v>0</v>
      </c>
      <c r="PC402">
        <v>0</v>
      </c>
      <c r="PD402">
        <v>0</v>
      </c>
      <c r="PE402">
        <v>0</v>
      </c>
      <c r="PF402">
        <v>0</v>
      </c>
      <c r="PG402">
        <v>0</v>
      </c>
      <c r="PH402">
        <v>0</v>
      </c>
      <c r="PI402">
        <v>0</v>
      </c>
      <c r="PJ402">
        <v>0</v>
      </c>
      <c r="PK402">
        <v>0</v>
      </c>
      <c r="PL402">
        <v>0</v>
      </c>
      <c r="PM402">
        <v>0</v>
      </c>
      <c r="PN402">
        <v>0</v>
      </c>
      <c r="PO402">
        <v>0</v>
      </c>
      <c r="PP402">
        <v>0</v>
      </c>
      <c r="PQ402">
        <v>0</v>
      </c>
      <c r="PR402">
        <v>0</v>
      </c>
      <c r="PS402">
        <v>0</v>
      </c>
      <c r="PT402">
        <v>0</v>
      </c>
      <c r="PU402">
        <v>0</v>
      </c>
      <c r="PV402">
        <v>0</v>
      </c>
      <c r="PW402">
        <v>0</v>
      </c>
      <c r="PX402">
        <v>0</v>
      </c>
      <c r="PY402">
        <v>0</v>
      </c>
      <c r="PZ402">
        <v>0</v>
      </c>
      <c r="QA402">
        <v>0</v>
      </c>
      <c r="QB402">
        <v>0</v>
      </c>
      <c r="QC402">
        <v>0</v>
      </c>
      <c r="QD402">
        <v>0</v>
      </c>
      <c r="QE402">
        <v>0</v>
      </c>
      <c r="QF402">
        <v>0</v>
      </c>
      <c r="QG402">
        <v>0</v>
      </c>
      <c r="QH402">
        <v>0</v>
      </c>
      <c r="QI402">
        <v>0</v>
      </c>
      <c r="QJ402">
        <v>0</v>
      </c>
      <c r="QK402">
        <v>0</v>
      </c>
      <c r="QL402">
        <v>0</v>
      </c>
      <c r="QM402">
        <v>0</v>
      </c>
      <c r="QN402">
        <v>0</v>
      </c>
      <c r="QO402">
        <v>0</v>
      </c>
      <c r="QP402">
        <v>0</v>
      </c>
      <c r="QQ402">
        <v>0</v>
      </c>
      <c r="QR402">
        <v>0</v>
      </c>
      <c r="QS402">
        <v>0</v>
      </c>
      <c r="QT402">
        <v>0</v>
      </c>
      <c r="QU402">
        <v>0</v>
      </c>
      <c r="QV402">
        <v>0</v>
      </c>
      <c r="QW402">
        <v>0</v>
      </c>
      <c r="QX402">
        <v>0</v>
      </c>
      <c r="QY402">
        <v>0</v>
      </c>
    </row>
    <row r="403" spans="1:467" hidden="1" x14ac:dyDescent="0.4">
      <c r="A403" t="str">
        <f>"9784480816870"</f>
        <v>9784480816870</v>
      </c>
      <c r="B403" t="str">
        <f>"4480816879"</f>
        <v>4480816879</v>
      </c>
      <c r="C403" t="s">
        <v>2648</v>
      </c>
      <c r="D403" t="s">
        <v>2649</v>
      </c>
      <c r="E403" t="s">
        <v>501</v>
      </c>
      <c r="G403" t="str">
        <f>"0095"</f>
        <v>0095</v>
      </c>
      <c r="H403" t="s">
        <v>481</v>
      </c>
      <c r="I403" t="s">
        <v>1893</v>
      </c>
      <c r="J403" t="s">
        <v>509</v>
      </c>
      <c r="L403" s="1">
        <v>44940</v>
      </c>
      <c r="M403">
        <v>1900</v>
      </c>
      <c r="N403">
        <v>7</v>
      </c>
      <c r="O403">
        <v>7</v>
      </c>
      <c r="P403">
        <v>7</v>
      </c>
      <c r="Q403">
        <v>7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1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1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1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1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1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0</v>
      </c>
      <c r="NL403">
        <v>0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0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1</v>
      </c>
      <c r="OZ403">
        <v>0</v>
      </c>
      <c r="PA403">
        <v>0</v>
      </c>
      <c r="PB403">
        <v>0</v>
      </c>
      <c r="PC403">
        <v>0</v>
      </c>
      <c r="PD403">
        <v>0</v>
      </c>
      <c r="PE403">
        <v>0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0</v>
      </c>
      <c r="PL403">
        <v>0</v>
      </c>
      <c r="PM403">
        <v>0</v>
      </c>
      <c r="PN403">
        <v>0</v>
      </c>
      <c r="PO403">
        <v>0</v>
      </c>
      <c r="PP403">
        <v>0</v>
      </c>
      <c r="PQ403">
        <v>0</v>
      </c>
      <c r="PR403">
        <v>0</v>
      </c>
      <c r="PS403">
        <v>0</v>
      </c>
      <c r="PT403">
        <v>0</v>
      </c>
      <c r="PU403">
        <v>0</v>
      </c>
      <c r="PV403">
        <v>0</v>
      </c>
      <c r="PW403">
        <v>0</v>
      </c>
      <c r="PX403">
        <v>0</v>
      </c>
      <c r="PY403">
        <v>0</v>
      </c>
      <c r="PZ403">
        <v>0</v>
      </c>
      <c r="QA403">
        <v>0</v>
      </c>
      <c r="QB403">
        <v>0</v>
      </c>
      <c r="QC403">
        <v>0</v>
      </c>
      <c r="QD403">
        <v>0</v>
      </c>
      <c r="QE403">
        <v>0</v>
      </c>
      <c r="QF403">
        <v>0</v>
      </c>
      <c r="QG403">
        <v>0</v>
      </c>
      <c r="QH403">
        <v>0</v>
      </c>
      <c r="QI403">
        <v>0</v>
      </c>
      <c r="QJ403">
        <v>0</v>
      </c>
      <c r="QK403">
        <v>0</v>
      </c>
      <c r="QL403">
        <v>0</v>
      </c>
      <c r="QM403">
        <v>0</v>
      </c>
      <c r="QN403">
        <v>0</v>
      </c>
      <c r="QO403">
        <v>0</v>
      </c>
      <c r="QP403">
        <v>0</v>
      </c>
      <c r="QQ403">
        <v>0</v>
      </c>
      <c r="QR403">
        <v>0</v>
      </c>
      <c r="QS403">
        <v>0</v>
      </c>
      <c r="QT403">
        <v>0</v>
      </c>
      <c r="QU403">
        <v>0</v>
      </c>
      <c r="QV403">
        <v>0</v>
      </c>
      <c r="QW403">
        <v>0</v>
      </c>
      <c r="QX403">
        <v>0</v>
      </c>
      <c r="QY403">
        <v>0</v>
      </c>
    </row>
    <row r="404" spans="1:467" hidden="1" x14ac:dyDescent="0.4">
      <c r="A404" t="str">
        <f>"9784152100214"</f>
        <v>9784152100214</v>
      </c>
      <c r="B404" t="str">
        <f>"4152100214"</f>
        <v>4152100214</v>
      </c>
      <c r="C404" t="s">
        <v>2628</v>
      </c>
      <c r="D404" t="s">
        <v>2080</v>
      </c>
      <c r="E404" t="s">
        <v>963</v>
      </c>
      <c r="G404" t="str">
        <f>"0097"</f>
        <v>0097</v>
      </c>
      <c r="H404" t="s">
        <v>481</v>
      </c>
      <c r="I404" t="s">
        <v>1893</v>
      </c>
      <c r="J404" t="s">
        <v>564</v>
      </c>
      <c r="L404" s="1">
        <v>44341</v>
      </c>
      <c r="M404">
        <v>1900</v>
      </c>
      <c r="N404">
        <v>7</v>
      </c>
      <c r="O404">
        <v>6</v>
      </c>
      <c r="P404">
        <v>7</v>
      </c>
      <c r="Q404">
        <v>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2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1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1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1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1</v>
      </c>
      <c r="NZ404">
        <v>0</v>
      </c>
      <c r="OA404">
        <v>0</v>
      </c>
      <c r="OB404">
        <v>0</v>
      </c>
      <c r="OC404">
        <v>0</v>
      </c>
      <c r="OD404">
        <v>1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  <c r="OO404">
        <v>0</v>
      </c>
      <c r="OP404">
        <v>0</v>
      </c>
      <c r="OQ404">
        <v>0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0</v>
      </c>
      <c r="OY404">
        <v>0</v>
      </c>
      <c r="OZ404">
        <v>0</v>
      </c>
      <c r="PA404">
        <v>0</v>
      </c>
      <c r="PB404">
        <v>0</v>
      </c>
      <c r="PC404">
        <v>0</v>
      </c>
      <c r="PD404">
        <v>0</v>
      </c>
      <c r="PE404">
        <v>0</v>
      </c>
      <c r="PF404">
        <v>0</v>
      </c>
      <c r="PG404">
        <v>0</v>
      </c>
      <c r="PH404">
        <v>0</v>
      </c>
      <c r="PI404">
        <v>0</v>
      </c>
      <c r="PJ404">
        <v>0</v>
      </c>
      <c r="PK404">
        <v>0</v>
      </c>
      <c r="PL404">
        <v>0</v>
      </c>
      <c r="PM404">
        <v>0</v>
      </c>
      <c r="PN404">
        <v>0</v>
      </c>
      <c r="PO404">
        <v>0</v>
      </c>
      <c r="PP404">
        <v>0</v>
      </c>
      <c r="PQ404">
        <v>0</v>
      </c>
      <c r="PR404">
        <v>0</v>
      </c>
      <c r="PS404">
        <v>0</v>
      </c>
      <c r="PT404">
        <v>0</v>
      </c>
      <c r="PU404">
        <v>0</v>
      </c>
      <c r="PV404">
        <v>0</v>
      </c>
      <c r="PW404">
        <v>0</v>
      </c>
      <c r="PX404">
        <v>0</v>
      </c>
      <c r="PY404">
        <v>0</v>
      </c>
      <c r="PZ404">
        <v>0</v>
      </c>
      <c r="QA404">
        <v>0</v>
      </c>
      <c r="QB404">
        <v>0</v>
      </c>
      <c r="QC404">
        <v>0</v>
      </c>
      <c r="QD404">
        <v>0</v>
      </c>
      <c r="QE404">
        <v>0</v>
      </c>
      <c r="QF404">
        <v>0</v>
      </c>
      <c r="QG404">
        <v>0</v>
      </c>
      <c r="QH404">
        <v>0</v>
      </c>
      <c r="QI404">
        <v>0</v>
      </c>
      <c r="QJ404">
        <v>0</v>
      </c>
      <c r="QK404">
        <v>0</v>
      </c>
      <c r="QL404">
        <v>0</v>
      </c>
      <c r="QM404">
        <v>0</v>
      </c>
      <c r="QN404">
        <v>0</v>
      </c>
      <c r="QO404">
        <v>0</v>
      </c>
      <c r="QP404">
        <v>0</v>
      </c>
      <c r="QQ404">
        <v>0</v>
      </c>
      <c r="QR404">
        <v>0</v>
      </c>
      <c r="QS404">
        <v>0</v>
      </c>
      <c r="QT404">
        <v>0</v>
      </c>
      <c r="QU404">
        <v>0</v>
      </c>
      <c r="QV404">
        <v>0</v>
      </c>
      <c r="QW404">
        <v>0</v>
      </c>
      <c r="QX404">
        <v>0</v>
      </c>
      <c r="QY404">
        <v>0</v>
      </c>
    </row>
    <row r="405" spans="1:467" hidden="1" x14ac:dyDescent="0.4">
      <c r="A405" t="str">
        <f>"9784065286388"</f>
        <v>9784065286388</v>
      </c>
      <c r="B405" t="str">
        <f>"4065286387"</f>
        <v>4065286387</v>
      </c>
      <c r="C405" t="s">
        <v>2650</v>
      </c>
      <c r="D405" t="s">
        <v>1359</v>
      </c>
      <c r="E405" t="s">
        <v>548</v>
      </c>
      <c r="G405" t="str">
        <f>"0093"</f>
        <v>0093</v>
      </c>
      <c r="H405" t="s">
        <v>481</v>
      </c>
      <c r="I405" t="s">
        <v>1893</v>
      </c>
      <c r="J405" t="s">
        <v>488</v>
      </c>
      <c r="L405" s="1">
        <v>44817</v>
      </c>
      <c r="M405">
        <v>1800</v>
      </c>
      <c r="N405">
        <v>7</v>
      </c>
      <c r="O405">
        <v>6</v>
      </c>
      <c r="P405">
        <v>7</v>
      </c>
      <c r="Q405">
        <v>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1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1</v>
      </c>
      <c r="JN405">
        <v>0</v>
      </c>
      <c r="JO405">
        <v>0</v>
      </c>
      <c r="JP405">
        <v>0</v>
      </c>
      <c r="JQ405">
        <v>2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1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0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</v>
      </c>
      <c r="NH405">
        <v>0</v>
      </c>
      <c r="NI405">
        <v>0</v>
      </c>
      <c r="NJ405">
        <v>0</v>
      </c>
      <c r="NK405">
        <v>0</v>
      </c>
      <c r="NL405">
        <v>0</v>
      </c>
      <c r="NM405">
        <v>0</v>
      </c>
      <c r="NN405">
        <v>0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0</v>
      </c>
      <c r="OI405">
        <v>0</v>
      </c>
      <c r="OJ405">
        <v>0</v>
      </c>
      <c r="OK405">
        <v>0</v>
      </c>
      <c r="OL405">
        <v>0</v>
      </c>
      <c r="OM405">
        <v>0</v>
      </c>
      <c r="ON405">
        <v>0</v>
      </c>
      <c r="OO405">
        <v>0</v>
      </c>
      <c r="OP405">
        <v>0</v>
      </c>
      <c r="OQ405">
        <v>0</v>
      </c>
      <c r="OR405">
        <v>0</v>
      </c>
      <c r="OS405">
        <v>0</v>
      </c>
      <c r="OT405">
        <v>0</v>
      </c>
      <c r="OU405">
        <v>0</v>
      </c>
      <c r="OV405">
        <v>0</v>
      </c>
      <c r="OW405">
        <v>0</v>
      </c>
      <c r="OX405">
        <v>0</v>
      </c>
      <c r="OY405">
        <v>0</v>
      </c>
      <c r="OZ405">
        <v>0</v>
      </c>
      <c r="PA405">
        <v>0</v>
      </c>
      <c r="PB405">
        <v>0</v>
      </c>
      <c r="PC405">
        <v>0</v>
      </c>
      <c r="PD405">
        <v>0</v>
      </c>
      <c r="PE405">
        <v>0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0</v>
      </c>
      <c r="PL405">
        <v>0</v>
      </c>
      <c r="PM405">
        <v>0</v>
      </c>
      <c r="PN405">
        <v>0</v>
      </c>
      <c r="PO405">
        <v>0</v>
      </c>
      <c r="PP405">
        <v>0</v>
      </c>
      <c r="PQ405">
        <v>0</v>
      </c>
      <c r="PR405">
        <v>0</v>
      </c>
      <c r="PS405">
        <v>0</v>
      </c>
      <c r="PT405">
        <v>0</v>
      </c>
      <c r="PU405">
        <v>0</v>
      </c>
      <c r="PV405">
        <v>0</v>
      </c>
      <c r="PW405">
        <v>0</v>
      </c>
      <c r="PX405">
        <v>0</v>
      </c>
      <c r="PY405">
        <v>0</v>
      </c>
      <c r="PZ405">
        <v>0</v>
      </c>
      <c r="QA405">
        <v>0</v>
      </c>
      <c r="QB405">
        <v>0</v>
      </c>
      <c r="QC405">
        <v>0</v>
      </c>
      <c r="QD405">
        <v>0</v>
      </c>
      <c r="QE405">
        <v>0</v>
      </c>
      <c r="QF405">
        <v>0</v>
      </c>
      <c r="QG405">
        <v>0</v>
      </c>
      <c r="QH405">
        <v>0</v>
      </c>
      <c r="QI405">
        <v>0</v>
      </c>
      <c r="QJ405">
        <v>0</v>
      </c>
      <c r="QK405">
        <v>0</v>
      </c>
      <c r="QL405">
        <v>0</v>
      </c>
      <c r="QM405">
        <v>0</v>
      </c>
      <c r="QN405">
        <v>0</v>
      </c>
      <c r="QO405">
        <v>0</v>
      </c>
      <c r="QP405">
        <v>0</v>
      </c>
      <c r="QQ405">
        <v>0</v>
      </c>
      <c r="QR405">
        <v>0</v>
      </c>
      <c r="QS405">
        <v>0</v>
      </c>
      <c r="QT405">
        <v>0</v>
      </c>
      <c r="QU405">
        <v>0</v>
      </c>
      <c r="QV405">
        <v>0</v>
      </c>
      <c r="QW405">
        <v>0</v>
      </c>
      <c r="QX405">
        <v>0</v>
      </c>
      <c r="QY405">
        <v>0</v>
      </c>
    </row>
    <row r="406" spans="1:467" x14ac:dyDescent="0.4">
      <c r="A406" t="str">
        <f>"9784098514786"</f>
        <v>9784098514786</v>
      </c>
      <c r="B406" t="str">
        <f>"4098514788"</f>
        <v>4098514788</v>
      </c>
      <c r="C406" t="s">
        <v>2651</v>
      </c>
      <c r="D406" t="s">
        <v>2652</v>
      </c>
      <c r="E406" t="s">
        <v>1069</v>
      </c>
      <c r="F406" t="s">
        <v>1881</v>
      </c>
      <c r="G406" t="str">
        <f>"9979"</f>
        <v>9979</v>
      </c>
      <c r="H406" t="s">
        <v>1855</v>
      </c>
      <c r="I406" t="s">
        <v>1856</v>
      </c>
      <c r="J406" t="s">
        <v>1856</v>
      </c>
      <c r="L406" s="1">
        <v>44911</v>
      </c>
      <c r="M406">
        <v>570</v>
      </c>
      <c r="N406">
        <v>7</v>
      </c>
      <c r="O406">
        <v>7</v>
      </c>
      <c r="P406">
        <v>7</v>
      </c>
      <c r="Q406">
        <v>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1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1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1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1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1</v>
      </c>
      <c r="NA406">
        <v>0</v>
      </c>
      <c r="NB406">
        <v>0</v>
      </c>
      <c r="NC406">
        <v>0</v>
      </c>
      <c r="ND406">
        <v>0</v>
      </c>
      <c r="NE406">
        <v>1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0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0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0</v>
      </c>
      <c r="OI406">
        <v>0</v>
      </c>
      <c r="OJ406">
        <v>0</v>
      </c>
      <c r="OK406">
        <v>0</v>
      </c>
      <c r="OL406">
        <v>0</v>
      </c>
      <c r="OM406">
        <v>0</v>
      </c>
      <c r="ON406">
        <v>0</v>
      </c>
      <c r="OO406">
        <v>0</v>
      </c>
      <c r="OP406">
        <v>0</v>
      </c>
      <c r="OQ406">
        <v>0</v>
      </c>
      <c r="OR406">
        <v>0</v>
      </c>
      <c r="OS406">
        <v>0</v>
      </c>
      <c r="OT406">
        <v>1</v>
      </c>
      <c r="OU406">
        <v>0</v>
      </c>
      <c r="OV406">
        <v>0</v>
      </c>
      <c r="OW406">
        <v>0</v>
      </c>
      <c r="OX406">
        <v>0</v>
      </c>
      <c r="OY406">
        <v>0</v>
      </c>
      <c r="OZ406">
        <v>0</v>
      </c>
      <c r="PA406">
        <v>0</v>
      </c>
      <c r="PB406">
        <v>0</v>
      </c>
      <c r="PC406">
        <v>0</v>
      </c>
      <c r="PD406">
        <v>0</v>
      </c>
      <c r="PE406">
        <v>0</v>
      </c>
      <c r="PF406">
        <v>0</v>
      </c>
      <c r="PG406">
        <v>0</v>
      </c>
      <c r="PH406">
        <v>0</v>
      </c>
      <c r="PI406">
        <v>0</v>
      </c>
      <c r="PJ406">
        <v>0</v>
      </c>
      <c r="PK406">
        <v>0</v>
      </c>
      <c r="PL406">
        <v>0</v>
      </c>
      <c r="PM406">
        <v>0</v>
      </c>
      <c r="PN406">
        <v>0</v>
      </c>
      <c r="PO406">
        <v>0</v>
      </c>
      <c r="PP406">
        <v>0</v>
      </c>
      <c r="PQ406">
        <v>0</v>
      </c>
      <c r="PR406">
        <v>0</v>
      </c>
      <c r="PS406">
        <v>0</v>
      </c>
      <c r="PT406">
        <v>0</v>
      </c>
      <c r="PU406">
        <v>0</v>
      </c>
      <c r="PV406">
        <v>0</v>
      </c>
      <c r="PW406">
        <v>0</v>
      </c>
      <c r="PX406">
        <v>0</v>
      </c>
      <c r="PY406">
        <v>0</v>
      </c>
      <c r="PZ406">
        <v>0</v>
      </c>
      <c r="QA406">
        <v>0</v>
      </c>
      <c r="QB406">
        <v>0</v>
      </c>
      <c r="QC406">
        <v>0</v>
      </c>
      <c r="QD406">
        <v>0</v>
      </c>
      <c r="QE406">
        <v>0</v>
      </c>
      <c r="QF406">
        <v>0</v>
      </c>
      <c r="QG406">
        <v>0</v>
      </c>
      <c r="QH406">
        <v>0</v>
      </c>
      <c r="QI406">
        <v>0</v>
      </c>
      <c r="QJ406">
        <v>0</v>
      </c>
      <c r="QK406">
        <v>0</v>
      </c>
      <c r="QL406">
        <v>0</v>
      </c>
      <c r="QM406">
        <v>0</v>
      </c>
      <c r="QN406">
        <v>0</v>
      </c>
      <c r="QO406">
        <v>0</v>
      </c>
      <c r="QP406">
        <v>0</v>
      </c>
      <c r="QQ406">
        <v>0</v>
      </c>
      <c r="QR406">
        <v>0</v>
      </c>
      <c r="QS406">
        <v>0</v>
      </c>
      <c r="QT406">
        <v>0</v>
      </c>
      <c r="QU406">
        <v>0</v>
      </c>
      <c r="QV406">
        <v>0</v>
      </c>
      <c r="QW406">
        <v>0</v>
      </c>
      <c r="QX406">
        <v>0</v>
      </c>
      <c r="QY406">
        <v>0</v>
      </c>
    </row>
    <row r="407" spans="1:467" x14ac:dyDescent="0.4">
      <c r="A407" t="str">
        <f>"9784088925363"</f>
        <v>9784088925363</v>
      </c>
      <c r="B407" t="str">
        <f>"408892536X"</f>
        <v>408892536X</v>
      </c>
      <c r="C407" t="s">
        <v>2653</v>
      </c>
      <c r="D407" t="s">
        <v>1867</v>
      </c>
      <c r="E407" t="s">
        <v>536</v>
      </c>
      <c r="F407" t="s">
        <v>1859</v>
      </c>
      <c r="G407" t="str">
        <f>"9979"</f>
        <v>9979</v>
      </c>
      <c r="H407" t="s">
        <v>1855</v>
      </c>
      <c r="I407" t="s">
        <v>1856</v>
      </c>
      <c r="J407" t="s">
        <v>1856</v>
      </c>
      <c r="L407" s="1">
        <v>44914</v>
      </c>
      <c r="M407">
        <v>650</v>
      </c>
      <c r="N407">
        <v>7</v>
      </c>
      <c r="O407">
        <v>6</v>
      </c>
      <c r="P407">
        <v>7</v>
      </c>
      <c r="Q407">
        <v>6</v>
      </c>
      <c r="R407">
        <v>0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</v>
      </c>
      <c r="BC407">
        <v>0</v>
      </c>
      <c r="BD407">
        <v>0</v>
      </c>
      <c r="BE407">
        <v>0</v>
      </c>
      <c r="BF407">
        <v>0</v>
      </c>
      <c r="BG407">
        <v>1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1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1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2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0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0</v>
      </c>
      <c r="PT407">
        <v>0</v>
      </c>
      <c r="PU407">
        <v>0</v>
      </c>
      <c r="PV407">
        <v>0</v>
      </c>
      <c r="PW407">
        <v>0</v>
      </c>
      <c r="PX407">
        <v>0</v>
      </c>
      <c r="PY407">
        <v>0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0</v>
      </c>
      <c r="QG407">
        <v>0</v>
      </c>
      <c r="QH407">
        <v>0</v>
      </c>
      <c r="QI407">
        <v>0</v>
      </c>
      <c r="QJ407">
        <v>0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0</v>
      </c>
      <c r="QR407">
        <v>0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</row>
    <row r="408" spans="1:467" hidden="1" x14ac:dyDescent="0.4">
      <c r="A408" t="str">
        <f>"9784847072635"</f>
        <v>9784847072635</v>
      </c>
      <c r="B408" t="str">
        <f>"4847072634"</f>
        <v>4847072634</v>
      </c>
      <c r="C408" t="s">
        <v>2654</v>
      </c>
      <c r="D408" t="s">
        <v>2655</v>
      </c>
      <c r="E408" t="s">
        <v>2656</v>
      </c>
      <c r="G408" t="str">
        <f>"0095"</f>
        <v>0095</v>
      </c>
      <c r="H408" t="s">
        <v>481</v>
      </c>
      <c r="I408" t="s">
        <v>1893</v>
      </c>
      <c r="J408" t="s">
        <v>509</v>
      </c>
      <c r="L408" s="1">
        <v>44911</v>
      </c>
      <c r="M408">
        <v>1500</v>
      </c>
      <c r="N408">
        <v>7</v>
      </c>
      <c r="O408">
        <v>6</v>
      </c>
      <c r="P408">
        <v>7</v>
      </c>
      <c r="Q408">
        <v>6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2</v>
      </c>
      <c r="HZ408">
        <v>0</v>
      </c>
      <c r="IA408">
        <v>0</v>
      </c>
      <c r="IB408">
        <v>1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1</v>
      </c>
      <c r="NL408">
        <v>1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0</v>
      </c>
      <c r="PT408">
        <v>0</v>
      </c>
      <c r="PU408">
        <v>0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0</v>
      </c>
      <c r="QB408">
        <v>0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0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</row>
    <row r="409" spans="1:467" hidden="1" x14ac:dyDescent="0.4">
      <c r="A409" t="str">
        <f>"9784575245721"</f>
        <v>9784575245721</v>
      </c>
      <c r="B409" t="str">
        <f>"4575245720"</f>
        <v>4575245720</v>
      </c>
      <c r="C409" t="s">
        <v>2657</v>
      </c>
      <c r="D409" t="s">
        <v>2658</v>
      </c>
      <c r="E409" t="s">
        <v>807</v>
      </c>
      <c r="G409" t="str">
        <f>"0093"</f>
        <v>0093</v>
      </c>
      <c r="H409" t="s">
        <v>481</v>
      </c>
      <c r="I409" t="s">
        <v>1893</v>
      </c>
      <c r="J409" t="s">
        <v>488</v>
      </c>
      <c r="L409" s="1">
        <v>44853</v>
      </c>
      <c r="M409">
        <v>1500</v>
      </c>
      <c r="N409">
        <v>7</v>
      </c>
      <c r="O409">
        <v>7</v>
      </c>
      <c r="P409">
        <v>7</v>
      </c>
      <c r="Q409">
        <v>7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1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1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1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1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0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1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0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0</v>
      </c>
      <c r="PT409">
        <v>1</v>
      </c>
      <c r="PU409">
        <v>0</v>
      </c>
      <c r="PV409">
        <v>0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</row>
    <row r="410" spans="1:467" x14ac:dyDescent="0.4">
      <c r="A410" t="str">
        <f>"9784065293782"</f>
        <v>9784065293782</v>
      </c>
      <c r="B410" t="str">
        <f>"4065293782"</f>
        <v>4065293782</v>
      </c>
      <c r="C410" t="s">
        <v>2659</v>
      </c>
      <c r="D410" t="s">
        <v>1861</v>
      </c>
      <c r="E410" t="s">
        <v>548</v>
      </c>
      <c r="F410" t="s">
        <v>1862</v>
      </c>
      <c r="G410" t="str">
        <f>"9979"</f>
        <v>9979</v>
      </c>
      <c r="H410" t="s">
        <v>1855</v>
      </c>
      <c r="I410" t="s">
        <v>1856</v>
      </c>
      <c r="J410" t="s">
        <v>1856</v>
      </c>
      <c r="L410" s="1">
        <v>44882</v>
      </c>
      <c r="M410">
        <v>500</v>
      </c>
      <c r="N410">
        <v>7</v>
      </c>
      <c r="O410">
        <v>7</v>
      </c>
      <c r="P410">
        <v>7</v>
      </c>
      <c r="Q410">
        <v>7</v>
      </c>
      <c r="R410">
        <v>0</v>
      </c>
      <c r="S410">
        <v>0</v>
      </c>
      <c r="T410">
        <v>1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0</v>
      </c>
      <c r="AK410">
        <v>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1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1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1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  <c r="NG410">
        <v>0</v>
      </c>
      <c r="NH410">
        <v>0</v>
      </c>
      <c r="NI410">
        <v>0</v>
      </c>
      <c r="NJ410">
        <v>0</v>
      </c>
      <c r="NK410">
        <v>0</v>
      </c>
      <c r="NL410">
        <v>0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1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0</v>
      </c>
      <c r="PB410">
        <v>0</v>
      </c>
      <c r="PC410">
        <v>0</v>
      </c>
      <c r="PD410">
        <v>0</v>
      </c>
      <c r="PE410">
        <v>0</v>
      </c>
      <c r="PF410">
        <v>0</v>
      </c>
      <c r="PG410">
        <v>0</v>
      </c>
      <c r="PH410">
        <v>0</v>
      </c>
      <c r="PI410">
        <v>0</v>
      </c>
      <c r="PJ410">
        <v>0</v>
      </c>
      <c r="PK410">
        <v>0</v>
      </c>
      <c r="PL410">
        <v>0</v>
      </c>
      <c r="PM410">
        <v>0</v>
      </c>
      <c r="PN410">
        <v>0</v>
      </c>
      <c r="PO410">
        <v>0</v>
      </c>
      <c r="PP410">
        <v>0</v>
      </c>
      <c r="PQ410">
        <v>0</v>
      </c>
      <c r="PR410">
        <v>0</v>
      </c>
      <c r="PS410">
        <v>0</v>
      </c>
      <c r="PT410">
        <v>0</v>
      </c>
      <c r="PU410">
        <v>0</v>
      </c>
      <c r="PV410">
        <v>0</v>
      </c>
      <c r="PW410">
        <v>0</v>
      </c>
      <c r="PX410">
        <v>0</v>
      </c>
      <c r="PY410">
        <v>0</v>
      </c>
      <c r="PZ410">
        <v>0</v>
      </c>
      <c r="QA410">
        <v>0</v>
      </c>
      <c r="QB410">
        <v>0</v>
      </c>
      <c r="QC410">
        <v>0</v>
      </c>
      <c r="QD410">
        <v>0</v>
      </c>
      <c r="QE410">
        <v>0</v>
      </c>
      <c r="QF410">
        <v>0</v>
      </c>
      <c r="QG410">
        <v>0</v>
      </c>
      <c r="QH410">
        <v>0</v>
      </c>
      <c r="QI410">
        <v>0</v>
      </c>
      <c r="QJ410">
        <v>0</v>
      </c>
      <c r="QK410">
        <v>0</v>
      </c>
      <c r="QL410">
        <v>0</v>
      </c>
      <c r="QM410">
        <v>0</v>
      </c>
      <c r="QN410">
        <v>0</v>
      </c>
      <c r="QO410">
        <v>0</v>
      </c>
      <c r="QP410">
        <v>0</v>
      </c>
      <c r="QQ410">
        <v>0</v>
      </c>
      <c r="QR410">
        <v>0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</row>
    <row r="411" spans="1:467" hidden="1" x14ac:dyDescent="0.4">
      <c r="A411" t="str">
        <f>"9784861829352"</f>
        <v>9784861829352</v>
      </c>
      <c r="B411" t="str">
        <f>"4861829356"</f>
        <v>4861829356</v>
      </c>
      <c r="C411" t="s">
        <v>2660</v>
      </c>
      <c r="D411" t="s">
        <v>2661</v>
      </c>
      <c r="E411" t="s">
        <v>2369</v>
      </c>
      <c r="G411" t="str">
        <f>"0097"</f>
        <v>0097</v>
      </c>
      <c r="H411" t="s">
        <v>481</v>
      </c>
      <c r="I411" t="s">
        <v>1893</v>
      </c>
      <c r="J411" t="s">
        <v>564</v>
      </c>
      <c r="L411" s="1">
        <v>44886</v>
      </c>
      <c r="M411">
        <v>5400</v>
      </c>
      <c r="N411">
        <v>7</v>
      </c>
      <c r="O411">
        <v>7</v>
      </c>
      <c r="P411">
        <v>7</v>
      </c>
      <c r="Q411">
        <v>7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1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1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0</v>
      </c>
      <c r="NL411">
        <v>0</v>
      </c>
      <c r="NM411">
        <v>0</v>
      </c>
      <c r="NN411">
        <v>1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0</v>
      </c>
      <c r="NW411">
        <v>0</v>
      </c>
      <c r="NX411">
        <v>0</v>
      </c>
      <c r="NY411">
        <v>1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1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0</v>
      </c>
      <c r="PL411">
        <v>0</v>
      </c>
      <c r="PM411">
        <v>0</v>
      </c>
      <c r="PN411">
        <v>0</v>
      </c>
      <c r="PO411">
        <v>0</v>
      </c>
      <c r="PP411">
        <v>0</v>
      </c>
      <c r="PQ411">
        <v>0</v>
      </c>
      <c r="PR411">
        <v>0</v>
      </c>
      <c r="PS411">
        <v>0</v>
      </c>
      <c r="PT411">
        <v>1</v>
      </c>
      <c r="PU411">
        <v>0</v>
      </c>
      <c r="PV411">
        <v>0</v>
      </c>
      <c r="PW411">
        <v>0</v>
      </c>
      <c r="PX411">
        <v>0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0</v>
      </c>
      <c r="QG411">
        <v>0</v>
      </c>
      <c r="QH411">
        <v>0</v>
      </c>
      <c r="QI411">
        <v>0</v>
      </c>
      <c r="QJ411">
        <v>0</v>
      </c>
      <c r="QK411">
        <v>0</v>
      </c>
      <c r="QL411">
        <v>0</v>
      </c>
      <c r="QM411">
        <v>0</v>
      </c>
      <c r="QN411">
        <v>0</v>
      </c>
      <c r="QO411">
        <v>0</v>
      </c>
      <c r="QP411">
        <v>0</v>
      </c>
      <c r="QQ411">
        <v>0</v>
      </c>
      <c r="QR411">
        <v>0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</row>
    <row r="412" spans="1:467" x14ac:dyDescent="0.4">
      <c r="A412" t="str">
        <f>"9784088831954"</f>
        <v>9784088831954</v>
      </c>
      <c r="B412" t="str">
        <f>"4088831950"</f>
        <v>4088831950</v>
      </c>
      <c r="C412" t="s">
        <v>2662</v>
      </c>
      <c r="D412" t="s">
        <v>2663</v>
      </c>
      <c r="E412" t="s">
        <v>536</v>
      </c>
      <c r="F412" t="s">
        <v>1854</v>
      </c>
      <c r="G412" t="str">
        <f>"9979"</f>
        <v>9979</v>
      </c>
      <c r="H412" t="s">
        <v>1855</v>
      </c>
      <c r="I412" t="s">
        <v>1856</v>
      </c>
      <c r="J412" t="s">
        <v>1856</v>
      </c>
      <c r="L412" s="1">
        <v>44869</v>
      </c>
      <c r="M412">
        <v>480</v>
      </c>
      <c r="N412">
        <v>7</v>
      </c>
      <c r="O412">
        <v>7</v>
      </c>
      <c r="P412">
        <v>7</v>
      </c>
      <c r="Q412">
        <v>7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1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1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1</v>
      </c>
      <c r="JR412">
        <v>1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1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1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0</v>
      </c>
      <c r="PL412">
        <v>0</v>
      </c>
      <c r="PM412">
        <v>0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0</v>
      </c>
      <c r="PT412">
        <v>0</v>
      </c>
      <c r="PU412">
        <v>0</v>
      </c>
      <c r="PV412">
        <v>0</v>
      </c>
      <c r="PW412">
        <v>0</v>
      </c>
      <c r="PX412">
        <v>0</v>
      </c>
      <c r="PY412">
        <v>0</v>
      </c>
      <c r="PZ412">
        <v>0</v>
      </c>
      <c r="QA412">
        <v>0</v>
      </c>
      <c r="QB412">
        <v>0</v>
      </c>
      <c r="QC412">
        <v>0</v>
      </c>
      <c r="QD412">
        <v>0</v>
      </c>
      <c r="QE412">
        <v>0</v>
      </c>
      <c r="QF412">
        <v>0</v>
      </c>
      <c r="QG412">
        <v>0</v>
      </c>
      <c r="QH412">
        <v>0</v>
      </c>
      <c r="QI412">
        <v>0</v>
      </c>
      <c r="QJ412">
        <v>0</v>
      </c>
      <c r="QK412">
        <v>0</v>
      </c>
      <c r="QL412">
        <v>0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0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</row>
    <row r="413" spans="1:467" hidden="1" x14ac:dyDescent="0.4">
      <c r="A413" t="str">
        <f>"9784093567350"</f>
        <v>9784093567350</v>
      </c>
      <c r="B413" t="str">
        <f>"4093567352"</f>
        <v>4093567352</v>
      </c>
      <c r="C413" t="s">
        <v>2664</v>
      </c>
      <c r="D413" t="s">
        <v>2665</v>
      </c>
      <c r="E413" t="s">
        <v>1069</v>
      </c>
      <c r="G413" t="str">
        <f>"0097"</f>
        <v>0097</v>
      </c>
      <c r="H413" t="s">
        <v>481</v>
      </c>
      <c r="I413" t="s">
        <v>1893</v>
      </c>
      <c r="J413" t="s">
        <v>564</v>
      </c>
      <c r="L413" s="1">
        <v>44832</v>
      </c>
      <c r="M413">
        <v>3000</v>
      </c>
      <c r="N413">
        <v>7</v>
      </c>
      <c r="O413">
        <v>7</v>
      </c>
      <c r="P413">
        <v>7</v>
      </c>
      <c r="Q413">
        <v>7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1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1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1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0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</v>
      </c>
      <c r="PQ413">
        <v>0</v>
      </c>
      <c r="PR413">
        <v>0</v>
      </c>
      <c r="PS413">
        <v>0</v>
      </c>
      <c r="PT413">
        <v>1</v>
      </c>
      <c r="PU413">
        <v>0</v>
      </c>
      <c r="PV413">
        <v>1</v>
      </c>
      <c r="PW413">
        <v>0</v>
      </c>
      <c r="PX413">
        <v>0</v>
      </c>
      <c r="PY413">
        <v>0</v>
      </c>
      <c r="PZ413">
        <v>0</v>
      </c>
      <c r="QA413">
        <v>0</v>
      </c>
      <c r="QB413">
        <v>0</v>
      </c>
      <c r="QC413">
        <v>0</v>
      </c>
      <c r="QD413">
        <v>0</v>
      </c>
      <c r="QE413">
        <v>0</v>
      </c>
      <c r="QF413">
        <v>0</v>
      </c>
      <c r="QG413">
        <v>0</v>
      </c>
      <c r="QH413">
        <v>1</v>
      </c>
      <c r="QI413">
        <v>0</v>
      </c>
      <c r="QJ413">
        <v>0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0</v>
      </c>
      <c r="QS413">
        <v>1</v>
      </c>
      <c r="QT413">
        <v>0</v>
      </c>
      <c r="QU413">
        <v>0</v>
      </c>
      <c r="QV413">
        <v>0</v>
      </c>
      <c r="QW413">
        <v>0</v>
      </c>
      <c r="QX413">
        <v>0</v>
      </c>
      <c r="QY413">
        <v>0</v>
      </c>
    </row>
    <row r="414" spans="1:467" hidden="1" x14ac:dyDescent="0.4">
      <c r="A414" t="str">
        <f>"9784569850641"</f>
        <v>9784569850641</v>
      </c>
      <c r="B414" t="str">
        <f>"4569850642"</f>
        <v>4569850642</v>
      </c>
      <c r="C414" t="s">
        <v>2666</v>
      </c>
      <c r="D414" t="s">
        <v>2275</v>
      </c>
      <c r="E414" t="s">
        <v>717</v>
      </c>
      <c r="G414" t="str">
        <f>"0093"</f>
        <v>0093</v>
      </c>
      <c r="H414" t="s">
        <v>481</v>
      </c>
      <c r="I414" t="s">
        <v>1893</v>
      </c>
      <c r="J414" t="s">
        <v>488</v>
      </c>
      <c r="L414" s="1">
        <v>44510</v>
      </c>
      <c r="M414">
        <v>1500</v>
      </c>
      <c r="N414">
        <v>7</v>
      </c>
      <c r="O414">
        <v>6</v>
      </c>
      <c r="P414">
        <v>7</v>
      </c>
      <c r="Q414">
        <v>6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1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2</v>
      </c>
      <c r="FU414">
        <v>0</v>
      </c>
      <c r="FV414">
        <v>0</v>
      </c>
      <c r="FW414">
        <v>0</v>
      </c>
      <c r="FX414">
        <v>0</v>
      </c>
      <c r="FY414">
        <v>1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1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1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0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0</v>
      </c>
      <c r="PN414">
        <v>0</v>
      </c>
      <c r="PO414">
        <v>0</v>
      </c>
      <c r="PP414">
        <v>0</v>
      </c>
      <c r="PQ414">
        <v>0</v>
      </c>
      <c r="PR414">
        <v>0</v>
      </c>
      <c r="PS414">
        <v>0</v>
      </c>
      <c r="PT414">
        <v>0</v>
      </c>
      <c r="PU414">
        <v>0</v>
      </c>
      <c r="PV414">
        <v>0</v>
      </c>
      <c r="PW414">
        <v>0</v>
      </c>
      <c r="PX414">
        <v>0</v>
      </c>
      <c r="PY414">
        <v>0</v>
      </c>
      <c r="PZ414">
        <v>0</v>
      </c>
      <c r="QA414">
        <v>0</v>
      </c>
      <c r="QB414">
        <v>0</v>
      </c>
      <c r="QC414">
        <v>0</v>
      </c>
      <c r="QD414">
        <v>0</v>
      </c>
      <c r="QE414">
        <v>0</v>
      </c>
      <c r="QF414">
        <v>0</v>
      </c>
      <c r="QG414">
        <v>0</v>
      </c>
      <c r="QH414">
        <v>0</v>
      </c>
      <c r="QI414">
        <v>0</v>
      </c>
      <c r="QJ414">
        <v>0</v>
      </c>
      <c r="QK414">
        <v>0</v>
      </c>
      <c r="QL414">
        <v>0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0</v>
      </c>
      <c r="QS414">
        <v>0</v>
      </c>
      <c r="QT414">
        <v>0</v>
      </c>
      <c r="QU414">
        <v>0</v>
      </c>
      <c r="QV414">
        <v>0</v>
      </c>
      <c r="QW414">
        <v>0</v>
      </c>
      <c r="QX414">
        <v>0</v>
      </c>
      <c r="QY414">
        <v>0</v>
      </c>
    </row>
    <row r="415" spans="1:467" hidden="1" x14ac:dyDescent="0.4">
      <c r="A415" t="str">
        <f>"9784473045324"</f>
        <v>9784473045324</v>
      </c>
      <c r="B415" t="str">
        <f>"4473045323"</f>
        <v>4473045323</v>
      </c>
      <c r="C415" t="s">
        <v>2667</v>
      </c>
      <c r="D415" t="s">
        <v>2668</v>
      </c>
      <c r="E415" t="s">
        <v>2354</v>
      </c>
      <c r="F415" t="s">
        <v>2669</v>
      </c>
      <c r="G415" t="str">
        <f>"2376"</f>
        <v>2376</v>
      </c>
      <c r="H415" t="s">
        <v>1991</v>
      </c>
      <c r="I415" t="s">
        <v>1877</v>
      </c>
      <c r="J415" t="s">
        <v>552</v>
      </c>
      <c r="L415" s="1">
        <v>44953</v>
      </c>
      <c r="M415">
        <v>600</v>
      </c>
      <c r="N415">
        <v>7</v>
      </c>
      <c r="O415">
        <v>5</v>
      </c>
      <c r="P415">
        <v>7</v>
      </c>
      <c r="Q415">
        <v>5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1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2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2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1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0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0</v>
      </c>
      <c r="PT415">
        <v>0</v>
      </c>
      <c r="PU415">
        <v>0</v>
      </c>
      <c r="PV415">
        <v>0</v>
      </c>
      <c r="PW415">
        <v>0</v>
      </c>
      <c r="PX415">
        <v>0</v>
      </c>
      <c r="PY415">
        <v>0</v>
      </c>
      <c r="PZ415">
        <v>0</v>
      </c>
      <c r="QA415">
        <v>0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0</v>
      </c>
      <c r="QH415">
        <v>0</v>
      </c>
      <c r="QI415">
        <v>0</v>
      </c>
      <c r="QJ415">
        <v>0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0</v>
      </c>
      <c r="QQ415">
        <v>0</v>
      </c>
      <c r="QR415">
        <v>0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</row>
    <row r="416" spans="1:467" x14ac:dyDescent="0.4">
      <c r="A416" t="str">
        <f>"9784088831701"</f>
        <v>9784088831701</v>
      </c>
      <c r="B416" t="str">
        <f>"4088831705"</f>
        <v>4088831705</v>
      </c>
      <c r="C416" t="s">
        <v>2670</v>
      </c>
      <c r="D416" t="s">
        <v>2201</v>
      </c>
      <c r="E416" t="s">
        <v>536</v>
      </c>
      <c r="F416" t="s">
        <v>1935</v>
      </c>
      <c r="G416" t="str">
        <f>"9979"</f>
        <v>9979</v>
      </c>
      <c r="H416" t="s">
        <v>1855</v>
      </c>
      <c r="I416" t="s">
        <v>1856</v>
      </c>
      <c r="J416" t="s">
        <v>1856</v>
      </c>
      <c r="L416" s="1">
        <v>44746</v>
      </c>
      <c r="M416">
        <v>480</v>
      </c>
      <c r="N416">
        <v>7</v>
      </c>
      <c r="O416">
        <v>7</v>
      </c>
      <c r="P416">
        <v>7</v>
      </c>
      <c r="Q416">
        <v>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1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1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1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1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1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1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1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0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0</v>
      </c>
      <c r="NT416">
        <v>0</v>
      </c>
      <c r="NU416">
        <v>0</v>
      </c>
      <c r="NV416">
        <v>0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0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0</v>
      </c>
      <c r="PT416">
        <v>0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0</v>
      </c>
      <c r="QY416">
        <v>0</v>
      </c>
    </row>
    <row r="417" spans="1:467" hidden="1" x14ac:dyDescent="0.4">
      <c r="A417" t="str">
        <f>"9784863292482"</f>
        <v>9784863292482</v>
      </c>
      <c r="B417" t="str">
        <f>"4863292481"</f>
        <v>4863292481</v>
      </c>
      <c r="C417" t="s">
        <v>2671</v>
      </c>
      <c r="D417" t="s">
        <v>2672</v>
      </c>
      <c r="E417" t="s">
        <v>2673</v>
      </c>
      <c r="G417" t="str">
        <f>"0095"</f>
        <v>0095</v>
      </c>
      <c r="H417" t="s">
        <v>481</v>
      </c>
      <c r="I417" t="s">
        <v>1893</v>
      </c>
      <c r="J417" t="s">
        <v>509</v>
      </c>
      <c r="L417" s="1">
        <v>44764</v>
      </c>
      <c r="M417">
        <v>3000</v>
      </c>
      <c r="N417">
        <v>7</v>
      </c>
      <c r="O417">
        <v>6</v>
      </c>
      <c r="P417">
        <v>7</v>
      </c>
      <c r="Q417">
        <v>6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2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1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1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1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1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0</v>
      </c>
      <c r="NL417">
        <v>0</v>
      </c>
      <c r="NM417">
        <v>0</v>
      </c>
      <c r="NN417">
        <v>0</v>
      </c>
      <c r="NO417">
        <v>0</v>
      </c>
      <c r="NP417">
        <v>0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1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0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0</v>
      </c>
      <c r="PT417">
        <v>0</v>
      </c>
      <c r="PU417">
        <v>0</v>
      </c>
      <c r="PV417">
        <v>0</v>
      </c>
      <c r="PW417">
        <v>0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0</v>
      </c>
      <c r="QG417">
        <v>0</v>
      </c>
      <c r="QH417">
        <v>0</v>
      </c>
      <c r="QI417">
        <v>0</v>
      </c>
      <c r="QJ417">
        <v>0</v>
      </c>
      <c r="QK417">
        <v>0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0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</row>
    <row r="418" spans="1:467" x14ac:dyDescent="0.4">
      <c r="A418" t="str">
        <f>"9784088833514"</f>
        <v>9784088833514</v>
      </c>
      <c r="B418" t="str">
        <f>"4088833511"</f>
        <v>4088833511</v>
      </c>
      <c r="C418" t="s">
        <v>2674</v>
      </c>
      <c r="D418" t="s">
        <v>2675</v>
      </c>
      <c r="E418" t="s">
        <v>536</v>
      </c>
      <c r="F418" t="s">
        <v>1935</v>
      </c>
      <c r="G418" t="str">
        <f>"9979"</f>
        <v>9979</v>
      </c>
      <c r="H418" t="s">
        <v>1855</v>
      </c>
      <c r="I418" t="s">
        <v>1856</v>
      </c>
      <c r="J418" t="s">
        <v>1856</v>
      </c>
      <c r="L418" s="1">
        <v>44930</v>
      </c>
      <c r="M418">
        <v>650</v>
      </c>
      <c r="N418">
        <v>7</v>
      </c>
      <c r="O418">
        <v>7</v>
      </c>
      <c r="P418">
        <v>7</v>
      </c>
      <c r="Q418">
        <v>7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1</v>
      </c>
      <c r="BF418">
        <v>0</v>
      </c>
      <c r="BG418">
        <v>0</v>
      </c>
      <c r="BH418">
        <v>1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1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1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1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1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  <c r="NK418">
        <v>0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0</v>
      </c>
      <c r="PT418">
        <v>0</v>
      </c>
      <c r="PU418">
        <v>0</v>
      </c>
      <c r="PV418">
        <v>0</v>
      </c>
      <c r="PW418">
        <v>0</v>
      </c>
      <c r="PX418">
        <v>0</v>
      </c>
      <c r="PY418">
        <v>0</v>
      </c>
      <c r="PZ418">
        <v>0</v>
      </c>
      <c r="QA418">
        <v>0</v>
      </c>
      <c r="QB418">
        <v>0</v>
      </c>
      <c r="QC418">
        <v>0</v>
      </c>
      <c r="QD418">
        <v>0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0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</row>
    <row r="419" spans="1:467" x14ac:dyDescent="0.4">
      <c r="A419" t="str">
        <f>"9784065299180"</f>
        <v>9784065299180</v>
      </c>
      <c r="B419" t="str">
        <f>"4065299187"</f>
        <v>4065299187</v>
      </c>
      <c r="C419" t="s">
        <v>2676</v>
      </c>
      <c r="D419" t="s">
        <v>2677</v>
      </c>
      <c r="E419" t="s">
        <v>548</v>
      </c>
      <c r="F419" t="s">
        <v>1947</v>
      </c>
      <c r="G419" t="str">
        <f>"9979"</f>
        <v>9979</v>
      </c>
      <c r="H419" t="s">
        <v>1855</v>
      </c>
      <c r="I419" t="s">
        <v>1856</v>
      </c>
      <c r="J419" t="s">
        <v>1856</v>
      </c>
      <c r="L419" s="1">
        <v>44917</v>
      </c>
      <c r="M419">
        <v>680</v>
      </c>
      <c r="N419">
        <v>7</v>
      </c>
      <c r="O419">
        <v>7</v>
      </c>
      <c r="P419">
        <v>7</v>
      </c>
      <c r="Q419">
        <v>7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1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1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1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1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1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1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0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0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1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0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0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0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</v>
      </c>
      <c r="QJ419">
        <v>0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</v>
      </c>
      <c r="QR419">
        <v>0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</row>
    <row r="420" spans="1:467" hidden="1" x14ac:dyDescent="0.4">
      <c r="A420" t="str">
        <f>"9784909544285"</f>
        <v>9784909544285</v>
      </c>
      <c r="B420" t="str">
        <f>"4909544283"</f>
        <v>4909544283</v>
      </c>
      <c r="C420" t="s">
        <v>2678</v>
      </c>
      <c r="D420" t="s">
        <v>2679</v>
      </c>
      <c r="E420" t="s">
        <v>2680</v>
      </c>
      <c r="G420" t="str">
        <f>"0074"</f>
        <v>0074</v>
      </c>
      <c r="H420" t="s">
        <v>481</v>
      </c>
      <c r="I420" t="s">
        <v>1893</v>
      </c>
      <c r="J420" t="s">
        <v>1393</v>
      </c>
      <c r="L420" s="1">
        <v>44896</v>
      </c>
      <c r="M420">
        <v>2200</v>
      </c>
      <c r="N420">
        <v>7</v>
      </c>
      <c r="O420">
        <v>6</v>
      </c>
      <c r="P420">
        <v>7</v>
      </c>
      <c r="Q420">
        <v>6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1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1</v>
      </c>
      <c r="CR420">
        <v>2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1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1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0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1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0</v>
      </c>
      <c r="PT420">
        <v>0</v>
      </c>
      <c r="PU420">
        <v>0</v>
      </c>
      <c r="PV420">
        <v>0</v>
      </c>
      <c r="PW420">
        <v>0</v>
      </c>
      <c r="PX420">
        <v>0</v>
      </c>
      <c r="PY420">
        <v>0</v>
      </c>
      <c r="PZ420">
        <v>0</v>
      </c>
      <c r="QA420">
        <v>0</v>
      </c>
      <c r="QB420">
        <v>0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0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0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</row>
    <row r="421" spans="1:467" hidden="1" x14ac:dyDescent="0.4">
      <c r="A421" t="str">
        <f>"9784065291863"</f>
        <v>9784065291863</v>
      </c>
      <c r="B421" t="str">
        <f>"4065291860"</f>
        <v>4065291860</v>
      </c>
      <c r="C421" t="s">
        <v>2681</v>
      </c>
      <c r="D421" t="s">
        <v>2682</v>
      </c>
      <c r="E421" t="s">
        <v>548</v>
      </c>
      <c r="G421" t="str">
        <f>"0095"</f>
        <v>0095</v>
      </c>
      <c r="H421" t="s">
        <v>481</v>
      </c>
      <c r="I421" t="s">
        <v>1893</v>
      </c>
      <c r="J421" t="s">
        <v>509</v>
      </c>
      <c r="L421" s="1">
        <v>44835</v>
      </c>
      <c r="M421">
        <v>1600</v>
      </c>
      <c r="N421">
        <v>7</v>
      </c>
      <c r="O421">
        <v>7</v>
      </c>
      <c r="P421">
        <v>7</v>
      </c>
      <c r="Q421">
        <v>7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1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1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1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1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1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1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1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0</v>
      </c>
      <c r="NL421">
        <v>0</v>
      </c>
      <c r="NM421">
        <v>0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0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0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</row>
    <row r="422" spans="1:467" hidden="1" x14ac:dyDescent="0.4">
      <c r="A422" t="str">
        <f>"9784140113752"</f>
        <v>9784140113752</v>
      </c>
      <c r="B422" t="str">
        <f>"4140113758"</f>
        <v>4140113758</v>
      </c>
      <c r="C422" t="s">
        <v>2683</v>
      </c>
      <c r="D422" t="s">
        <v>2684</v>
      </c>
      <c r="E422" t="s">
        <v>480</v>
      </c>
      <c r="G422" t="str">
        <f>"2077"</f>
        <v>2077</v>
      </c>
      <c r="H422" t="s">
        <v>1991</v>
      </c>
      <c r="I422" t="s">
        <v>1893</v>
      </c>
      <c r="J422" t="s">
        <v>1006</v>
      </c>
      <c r="L422" s="1">
        <v>44882</v>
      </c>
      <c r="M422">
        <v>2800</v>
      </c>
      <c r="N422">
        <v>7</v>
      </c>
      <c r="O422">
        <v>7</v>
      </c>
      <c r="P422">
        <v>7</v>
      </c>
      <c r="Q422">
        <v>7</v>
      </c>
      <c r="R422">
        <v>0</v>
      </c>
      <c r="S422">
        <v>1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1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1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1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1</v>
      </c>
      <c r="KH422">
        <v>1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1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  <c r="NK422">
        <v>0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0</v>
      </c>
      <c r="PT422">
        <v>0</v>
      </c>
      <c r="PU422">
        <v>0</v>
      </c>
      <c r="PV422">
        <v>0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0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</row>
    <row r="423" spans="1:467" x14ac:dyDescent="0.4">
      <c r="A423" t="str">
        <f>"9784088831732"</f>
        <v>9784088831732</v>
      </c>
      <c r="B423" t="str">
        <f>"408883173X"</f>
        <v>408883173X</v>
      </c>
      <c r="C423" t="s">
        <v>2685</v>
      </c>
      <c r="D423" t="s">
        <v>2686</v>
      </c>
      <c r="E423" t="s">
        <v>536</v>
      </c>
      <c r="F423" t="s">
        <v>1854</v>
      </c>
      <c r="G423" t="str">
        <f>"9979"</f>
        <v>9979</v>
      </c>
      <c r="H423" t="s">
        <v>1855</v>
      </c>
      <c r="I423" t="s">
        <v>1856</v>
      </c>
      <c r="J423" t="s">
        <v>1856</v>
      </c>
      <c r="L423" s="1">
        <v>44806</v>
      </c>
      <c r="M423">
        <v>460</v>
      </c>
      <c r="N423">
        <v>7</v>
      </c>
      <c r="O423">
        <v>7</v>
      </c>
      <c r="P423">
        <v>7</v>
      </c>
      <c r="Q423">
        <v>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1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1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1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1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0</v>
      </c>
      <c r="NL423">
        <v>0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0</v>
      </c>
      <c r="PL423">
        <v>0</v>
      </c>
      <c r="PM423">
        <v>0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0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0</v>
      </c>
      <c r="QQ423">
        <v>0</v>
      </c>
      <c r="QR423">
        <v>0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0</v>
      </c>
      <c r="QY423">
        <v>0</v>
      </c>
    </row>
    <row r="424" spans="1:467" hidden="1" x14ac:dyDescent="0.4">
      <c r="A424" t="str">
        <f>"9784000615457"</f>
        <v>9784000615457</v>
      </c>
      <c r="B424" t="str">
        <f>"4000615459"</f>
        <v>4000615459</v>
      </c>
      <c r="C424" t="s">
        <v>2687</v>
      </c>
      <c r="D424" t="s">
        <v>2385</v>
      </c>
      <c r="E424" t="s">
        <v>521</v>
      </c>
      <c r="G424" t="str">
        <f>"0079"</f>
        <v>0079</v>
      </c>
      <c r="H424" t="s">
        <v>481</v>
      </c>
      <c r="I424" t="s">
        <v>1893</v>
      </c>
      <c r="J424" t="s">
        <v>1856</v>
      </c>
      <c r="L424" s="1">
        <v>44750</v>
      </c>
      <c r="M424">
        <v>2400</v>
      </c>
      <c r="N424">
        <v>7</v>
      </c>
      <c r="O424">
        <v>6</v>
      </c>
      <c r="P424">
        <v>7</v>
      </c>
      <c r="Q424">
        <v>6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1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1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1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1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2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1</v>
      </c>
      <c r="PJ424">
        <v>0</v>
      </c>
      <c r="PK424">
        <v>0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0</v>
      </c>
      <c r="PT424">
        <v>0</v>
      </c>
      <c r="PU424">
        <v>0</v>
      </c>
      <c r="PV424">
        <v>0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0</v>
      </c>
      <c r="QQ424">
        <v>0</v>
      </c>
      <c r="QR424">
        <v>0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</row>
    <row r="425" spans="1:467" hidden="1" x14ac:dyDescent="0.4">
      <c r="A425" t="str">
        <f>"9784103002628"</f>
        <v>9784103002628</v>
      </c>
      <c r="B425" t="str">
        <f>"410300262X"</f>
        <v>410300262X</v>
      </c>
      <c r="C425" t="s">
        <v>2688</v>
      </c>
      <c r="D425" t="s">
        <v>2689</v>
      </c>
      <c r="E425" t="s">
        <v>516</v>
      </c>
      <c r="G425" t="str">
        <f>"0093"</f>
        <v>0093</v>
      </c>
      <c r="H425" t="s">
        <v>481</v>
      </c>
      <c r="I425" t="s">
        <v>1893</v>
      </c>
      <c r="J425" t="s">
        <v>488</v>
      </c>
      <c r="L425" s="1">
        <v>44943</v>
      </c>
      <c r="M425">
        <v>1600</v>
      </c>
      <c r="N425">
        <v>7</v>
      </c>
      <c r="O425">
        <v>6</v>
      </c>
      <c r="P425">
        <v>7</v>
      </c>
      <c r="Q425">
        <v>6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1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1</v>
      </c>
      <c r="DZ425">
        <v>0</v>
      </c>
      <c r="EA425">
        <v>1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2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1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1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0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0</v>
      </c>
      <c r="PX425">
        <v>0</v>
      </c>
      <c r="PY425">
        <v>0</v>
      </c>
      <c r="PZ425">
        <v>0</v>
      </c>
      <c r="QA425">
        <v>0</v>
      </c>
      <c r="QB425">
        <v>0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</v>
      </c>
      <c r="QR425">
        <v>0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</row>
    <row r="426" spans="1:467" x14ac:dyDescent="0.4">
      <c r="A426" t="str">
        <f>"9784592222477"</f>
        <v>9784592222477</v>
      </c>
      <c r="B426" t="str">
        <f>"4592222474"</f>
        <v>4592222474</v>
      </c>
      <c r="C426" t="s">
        <v>2690</v>
      </c>
      <c r="D426" t="s">
        <v>2691</v>
      </c>
      <c r="E426" t="s">
        <v>1897</v>
      </c>
      <c r="F426" t="s">
        <v>2124</v>
      </c>
      <c r="G426" t="str">
        <f>"9979"</f>
        <v>9979</v>
      </c>
      <c r="H426" t="s">
        <v>1855</v>
      </c>
      <c r="I426" t="s">
        <v>1856</v>
      </c>
      <c r="J426" t="s">
        <v>1856</v>
      </c>
      <c r="L426" s="1">
        <v>44930</v>
      </c>
      <c r="M426">
        <v>600</v>
      </c>
      <c r="N426">
        <v>7</v>
      </c>
      <c r="O426">
        <v>6</v>
      </c>
      <c r="P426">
        <v>7</v>
      </c>
      <c r="Q426">
        <v>6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1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1</v>
      </c>
      <c r="HL426">
        <v>1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1</v>
      </c>
      <c r="HW426">
        <v>0</v>
      </c>
      <c r="HX426">
        <v>0</v>
      </c>
      <c r="HY426">
        <v>1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2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0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0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0</v>
      </c>
      <c r="PT426">
        <v>0</v>
      </c>
      <c r="PU426">
        <v>0</v>
      </c>
      <c r="PV426">
        <v>0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0</v>
      </c>
      <c r="QP426">
        <v>0</v>
      </c>
      <c r="QQ426">
        <v>0</v>
      </c>
      <c r="QR426">
        <v>0</v>
      </c>
      <c r="QS426">
        <v>0</v>
      </c>
      <c r="QT426">
        <v>0</v>
      </c>
      <c r="QU426">
        <v>0</v>
      </c>
      <c r="QV426">
        <v>0</v>
      </c>
      <c r="QW426">
        <v>0</v>
      </c>
      <c r="QX426">
        <v>0</v>
      </c>
      <c r="QY426">
        <v>0</v>
      </c>
    </row>
    <row r="427" spans="1:467" x14ac:dyDescent="0.4">
      <c r="A427" t="str">
        <f>"9784087925494"</f>
        <v>9784087925494</v>
      </c>
      <c r="B427" t="str">
        <f>"4087925498"</f>
        <v>4087925498</v>
      </c>
      <c r="C427" t="s">
        <v>2692</v>
      </c>
      <c r="D427" t="s">
        <v>1909</v>
      </c>
      <c r="E427" t="s">
        <v>536</v>
      </c>
      <c r="F427" t="s">
        <v>1910</v>
      </c>
      <c r="G427" t="str">
        <f>"0979"</f>
        <v>0979</v>
      </c>
      <c r="H427" t="s">
        <v>481</v>
      </c>
      <c r="I427" t="s">
        <v>1856</v>
      </c>
      <c r="J427" t="s">
        <v>1856</v>
      </c>
      <c r="L427" s="1">
        <v>43347</v>
      </c>
      <c r="M427">
        <v>600</v>
      </c>
      <c r="N427">
        <v>7</v>
      </c>
      <c r="O427">
        <v>5</v>
      </c>
      <c r="P427">
        <v>7</v>
      </c>
      <c r="Q427">
        <v>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1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2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2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1</v>
      </c>
      <c r="MM427">
        <v>0</v>
      </c>
      <c r="MN427">
        <v>1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0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0</v>
      </c>
      <c r="NS427">
        <v>0</v>
      </c>
      <c r="NT427">
        <v>0</v>
      </c>
      <c r="NU427">
        <v>0</v>
      </c>
      <c r="NV427">
        <v>0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  <c r="PB427">
        <v>0</v>
      </c>
      <c r="PC427">
        <v>0</v>
      </c>
      <c r="PD427">
        <v>0</v>
      </c>
      <c r="PE427">
        <v>0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0</v>
      </c>
      <c r="PL427">
        <v>0</v>
      </c>
      <c r="PM427">
        <v>0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0</v>
      </c>
      <c r="PT427">
        <v>0</v>
      </c>
      <c r="PU427">
        <v>0</v>
      </c>
      <c r="PV427">
        <v>0</v>
      </c>
      <c r="PW427">
        <v>0</v>
      </c>
      <c r="PX427">
        <v>0</v>
      </c>
      <c r="PY427">
        <v>0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0</v>
      </c>
      <c r="QG427">
        <v>0</v>
      </c>
      <c r="QH427">
        <v>0</v>
      </c>
      <c r="QI427">
        <v>0</v>
      </c>
      <c r="QJ427">
        <v>0</v>
      </c>
      <c r="QK427">
        <v>0</v>
      </c>
      <c r="QL427">
        <v>0</v>
      </c>
      <c r="QM427">
        <v>0</v>
      </c>
      <c r="QN427">
        <v>0</v>
      </c>
      <c r="QO427">
        <v>0</v>
      </c>
      <c r="QP427">
        <v>0</v>
      </c>
      <c r="QQ427">
        <v>0</v>
      </c>
      <c r="QR427">
        <v>0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</row>
    <row r="428" spans="1:467" hidden="1" x14ac:dyDescent="0.4">
      <c r="A428" t="str">
        <f>"9784140817902"</f>
        <v>9784140817902</v>
      </c>
      <c r="B428" t="str">
        <f>"4140817909"</f>
        <v>4140817909</v>
      </c>
      <c r="C428" t="s">
        <v>2693</v>
      </c>
      <c r="D428" t="s">
        <v>2694</v>
      </c>
      <c r="E428" t="s">
        <v>480</v>
      </c>
      <c r="G428" t="str">
        <f>"0098"</f>
        <v>0098</v>
      </c>
      <c r="H428" t="s">
        <v>481</v>
      </c>
      <c r="I428" t="s">
        <v>1893</v>
      </c>
      <c r="J428" t="s">
        <v>1894</v>
      </c>
      <c r="K428" t="s">
        <v>2695</v>
      </c>
      <c r="L428" s="1">
        <v>43705</v>
      </c>
      <c r="M428">
        <v>2000</v>
      </c>
      <c r="N428">
        <v>7</v>
      </c>
      <c r="O428">
        <v>7</v>
      </c>
      <c r="P428">
        <v>7</v>
      </c>
      <c r="Q428">
        <v>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1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1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1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1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1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0</v>
      </c>
      <c r="NK428">
        <v>0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1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0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0</v>
      </c>
      <c r="PT428">
        <v>0</v>
      </c>
      <c r="PU428">
        <v>1</v>
      </c>
      <c r="PV428">
        <v>0</v>
      </c>
      <c r="PW428">
        <v>0</v>
      </c>
      <c r="PX428">
        <v>0</v>
      </c>
      <c r="PY428">
        <v>0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0</v>
      </c>
      <c r="QL428">
        <v>0</v>
      </c>
      <c r="QM428">
        <v>0</v>
      </c>
      <c r="QN428">
        <v>0</v>
      </c>
      <c r="QO428">
        <v>0</v>
      </c>
      <c r="QP428">
        <v>0</v>
      </c>
      <c r="QQ428">
        <v>0</v>
      </c>
      <c r="QR428">
        <v>0</v>
      </c>
      <c r="QS428">
        <v>0</v>
      </c>
      <c r="QT428">
        <v>0</v>
      </c>
      <c r="QU428">
        <v>0</v>
      </c>
      <c r="QV428">
        <v>0</v>
      </c>
      <c r="QW428">
        <v>0</v>
      </c>
      <c r="QX428">
        <v>0</v>
      </c>
      <c r="QY428">
        <v>0</v>
      </c>
    </row>
    <row r="429" spans="1:467" x14ac:dyDescent="0.4">
      <c r="A429" t="str">
        <f>"9784396767976"</f>
        <v>9784396767976</v>
      </c>
      <c r="B429" t="str">
        <f>"4396767978"</f>
        <v>4396767978</v>
      </c>
      <c r="C429" t="s">
        <v>2696</v>
      </c>
      <c r="D429" t="s">
        <v>2056</v>
      </c>
      <c r="E429" t="s">
        <v>1387</v>
      </c>
      <c r="F429" t="s">
        <v>2057</v>
      </c>
      <c r="G429" t="str">
        <f>"9979"</f>
        <v>9979</v>
      </c>
      <c r="H429" t="s">
        <v>1855</v>
      </c>
      <c r="I429" t="s">
        <v>1856</v>
      </c>
      <c r="J429" t="s">
        <v>1856</v>
      </c>
      <c r="L429" s="1">
        <v>44020</v>
      </c>
      <c r="M429">
        <v>680</v>
      </c>
      <c r="N429">
        <v>7</v>
      </c>
      <c r="O429">
        <v>6</v>
      </c>
      <c r="P429">
        <v>7</v>
      </c>
      <c r="Q429">
        <v>6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1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1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2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1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1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0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0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0</v>
      </c>
      <c r="PT429">
        <v>0</v>
      </c>
      <c r="PU429">
        <v>0</v>
      </c>
      <c r="PV429">
        <v>0</v>
      </c>
      <c r="PW429">
        <v>0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0</v>
      </c>
      <c r="QG429">
        <v>0</v>
      </c>
      <c r="QH429">
        <v>0</v>
      </c>
      <c r="QI429">
        <v>0</v>
      </c>
      <c r="QJ429">
        <v>0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0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</row>
    <row r="430" spans="1:467" x14ac:dyDescent="0.4">
      <c r="A430" t="str">
        <f>"9784088815169"</f>
        <v>9784088815169</v>
      </c>
      <c r="B430" t="str">
        <f>"4088815165"</f>
        <v>4088815165</v>
      </c>
      <c r="C430" t="s">
        <v>2697</v>
      </c>
      <c r="D430" t="s">
        <v>1869</v>
      </c>
      <c r="E430" t="s">
        <v>536</v>
      </c>
      <c r="F430" t="s">
        <v>1854</v>
      </c>
      <c r="G430" t="str">
        <f>"9979"</f>
        <v>9979</v>
      </c>
      <c r="H430" t="s">
        <v>1855</v>
      </c>
      <c r="I430" t="s">
        <v>1856</v>
      </c>
      <c r="J430" t="s">
        <v>1856</v>
      </c>
      <c r="L430" s="1">
        <v>43285</v>
      </c>
      <c r="M430">
        <v>440</v>
      </c>
      <c r="N430">
        <v>7</v>
      </c>
      <c r="O430">
        <v>6</v>
      </c>
      <c r="P430">
        <v>7</v>
      </c>
      <c r="Q430">
        <v>6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1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1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1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2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1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1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0</v>
      </c>
      <c r="NL430">
        <v>0</v>
      </c>
      <c r="NM430">
        <v>0</v>
      </c>
      <c r="NN430">
        <v>0</v>
      </c>
      <c r="NO430">
        <v>0</v>
      </c>
      <c r="NP430">
        <v>0</v>
      </c>
      <c r="NQ430">
        <v>0</v>
      </c>
      <c r="NR430">
        <v>0</v>
      </c>
      <c r="NS430">
        <v>0</v>
      </c>
      <c r="NT430">
        <v>0</v>
      </c>
      <c r="NU430">
        <v>0</v>
      </c>
      <c r="NV430">
        <v>0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C430">
        <v>0</v>
      </c>
      <c r="OD430">
        <v>0</v>
      </c>
      <c r="OE430">
        <v>0</v>
      </c>
      <c r="OF430">
        <v>0</v>
      </c>
      <c r="OG430">
        <v>0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0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0</v>
      </c>
      <c r="PL430">
        <v>0</v>
      </c>
      <c r="PM430">
        <v>0</v>
      </c>
      <c r="PN430">
        <v>0</v>
      </c>
      <c r="PO430">
        <v>0</v>
      </c>
      <c r="PP430">
        <v>0</v>
      </c>
      <c r="PQ430">
        <v>0</v>
      </c>
      <c r="PR430">
        <v>0</v>
      </c>
      <c r="PS430">
        <v>0</v>
      </c>
      <c r="PT430">
        <v>0</v>
      </c>
      <c r="PU430">
        <v>0</v>
      </c>
      <c r="PV430">
        <v>0</v>
      </c>
      <c r="PW430">
        <v>0</v>
      </c>
      <c r="PX430">
        <v>0</v>
      </c>
      <c r="PY430">
        <v>0</v>
      </c>
      <c r="PZ430">
        <v>0</v>
      </c>
      <c r="QA430">
        <v>0</v>
      </c>
      <c r="QB430">
        <v>0</v>
      </c>
      <c r="QC430">
        <v>0</v>
      </c>
      <c r="QD430">
        <v>0</v>
      </c>
      <c r="QE430">
        <v>0</v>
      </c>
      <c r="QF430">
        <v>0</v>
      </c>
      <c r="QG430">
        <v>0</v>
      </c>
      <c r="QH430">
        <v>0</v>
      </c>
      <c r="QI430">
        <v>0</v>
      </c>
      <c r="QJ430">
        <v>0</v>
      </c>
      <c r="QK430">
        <v>0</v>
      </c>
      <c r="QL430">
        <v>0</v>
      </c>
      <c r="QM430">
        <v>0</v>
      </c>
      <c r="QN430">
        <v>0</v>
      </c>
      <c r="QO430">
        <v>0</v>
      </c>
      <c r="QP430">
        <v>0</v>
      </c>
      <c r="QQ430">
        <v>0</v>
      </c>
      <c r="QR430">
        <v>0</v>
      </c>
      <c r="QS430">
        <v>0</v>
      </c>
      <c r="QT430">
        <v>0</v>
      </c>
      <c r="QU430">
        <v>0</v>
      </c>
      <c r="QV430">
        <v>0</v>
      </c>
      <c r="QW430">
        <v>0</v>
      </c>
      <c r="QX430">
        <v>0</v>
      </c>
      <c r="QY430">
        <v>0</v>
      </c>
    </row>
    <row r="431" spans="1:467" hidden="1" x14ac:dyDescent="0.4">
      <c r="A431" t="str">
        <f>"9784093888448"</f>
        <v>9784093888448</v>
      </c>
      <c r="B431" t="str">
        <f>"4093888442"</f>
        <v>4093888442</v>
      </c>
      <c r="C431" t="s">
        <v>2698</v>
      </c>
      <c r="D431" t="s">
        <v>2699</v>
      </c>
      <c r="E431" t="s">
        <v>1069</v>
      </c>
      <c r="G431" t="str">
        <f>"0095"</f>
        <v>0095</v>
      </c>
      <c r="H431" t="s">
        <v>481</v>
      </c>
      <c r="I431" t="s">
        <v>1893</v>
      </c>
      <c r="J431" t="s">
        <v>509</v>
      </c>
      <c r="L431" s="1">
        <v>44851</v>
      </c>
      <c r="M431">
        <v>1600</v>
      </c>
      <c r="N431">
        <v>7</v>
      </c>
      <c r="O431">
        <v>7</v>
      </c>
      <c r="P431">
        <v>7</v>
      </c>
      <c r="Q431">
        <v>7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1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1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1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1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1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  <c r="NK431">
        <v>0</v>
      </c>
      <c r="NL431">
        <v>0</v>
      </c>
      <c r="NM431">
        <v>0</v>
      </c>
      <c r="NN431">
        <v>0</v>
      </c>
      <c r="NO431">
        <v>0</v>
      </c>
      <c r="NP431">
        <v>0</v>
      </c>
      <c r="NQ431">
        <v>0</v>
      </c>
      <c r="NR431">
        <v>0</v>
      </c>
      <c r="NS431">
        <v>0</v>
      </c>
      <c r="NT431">
        <v>0</v>
      </c>
      <c r="NU431">
        <v>0</v>
      </c>
      <c r="NV431">
        <v>0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  <c r="PB431">
        <v>0</v>
      </c>
      <c r="PC431">
        <v>0</v>
      </c>
      <c r="PD431">
        <v>0</v>
      </c>
      <c r="PE431">
        <v>0</v>
      </c>
      <c r="PF431">
        <v>0</v>
      </c>
      <c r="PG431">
        <v>0</v>
      </c>
      <c r="PH431">
        <v>0</v>
      </c>
      <c r="PI431">
        <v>0</v>
      </c>
      <c r="PJ431">
        <v>0</v>
      </c>
      <c r="PK431">
        <v>0</v>
      </c>
      <c r="PL431">
        <v>0</v>
      </c>
      <c r="PM431">
        <v>0</v>
      </c>
      <c r="PN431">
        <v>0</v>
      </c>
      <c r="PO431">
        <v>0</v>
      </c>
      <c r="PP431">
        <v>0</v>
      </c>
      <c r="PQ431">
        <v>0</v>
      </c>
      <c r="PR431">
        <v>0</v>
      </c>
      <c r="PS431">
        <v>0</v>
      </c>
      <c r="PT431">
        <v>1</v>
      </c>
      <c r="PU431">
        <v>0</v>
      </c>
      <c r="PV431">
        <v>0</v>
      </c>
      <c r="PW431">
        <v>0</v>
      </c>
      <c r="PX431">
        <v>0</v>
      </c>
      <c r="PY431">
        <v>0</v>
      </c>
      <c r="PZ431">
        <v>0</v>
      </c>
      <c r="QA431">
        <v>0</v>
      </c>
      <c r="QB431">
        <v>0</v>
      </c>
      <c r="QC431">
        <v>0</v>
      </c>
      <c r="QD431">
        <v>0</v>
      </c>
      <c r="QE431">
        <v>0</v>
      </c>
      <c r="QF431">
        <v>0</v>
      </c>
      <c r="QG431">
        <v>0</v>
      </c>
      <c r="QH431">
        <v>0</v>
      </c>
      <c r="QI431">
        <v>0</v>
      </c>
      <c r="QJ431">
        <v>0</v>
      </c>
      <c r="QK431">
        <v>0</v>
      </c>
      <c r="QL431">
        <v>0</v>
      </c>
      <c r="QM431">
        <v>0</v>
      </c>
      <c r="QN431">
        <v>0</v>
      </c>
      <c r="QO431">
        <v>0</v>
      </c>
      <c r="QP431">
        <v>0</v>
      </c>
      <c r="QQ431">
        <v>0</v>
      </c>
      <c r="QR431">
        <v>0</v>
      </c>
      <c r="QS431">
        <v>0</v>
      </c>
      <c r="QT431">
        <v>0</v>
      </c>
      <c r="QU431">
        <v>0</v>
      </c>
      <c r="QV431">
        <v>0</v>
      </c>
      <c r="QW431">
        <v>0</v>
      </c>
      <c r="QX431">
        <v>0</v>
      </c>
      <c r="QY431">
        <v>0</v>
      </c>
    </row>
    <row r="432" spans="1:467" hidden="1" x14ac:dyDescent="0.4">
      <c r="A432" t="str">
        <f>"9784396617912"</f>
        <v>9784396617912</v>
      </c>
      <c r="B432" t="str">
        <f>"4396617917"</f>
        <v>4396617917</v>
      </c>
      <c r="C432" t="s">
        <v>2700</v>
      </c>
      <c r="D432" t="s">
        <v>2701</v>
      </c>
      <c r="E432" t="s">
        <v>1387</v>
      </c>
      <c r="G432" t="str">
        <f>"0095"</f>
        <v>0095</v>
      </c>
      <c r="H432" t="s">
        <v>481</v>
      </c>
      <c r="I432" t="s">
        <v>1893</v>
      </c>
      <c r="J432" t="s">
        <v>509</v>
      </c>
      <c r="L432" s="1">
        <v>44806</v>
      </c>
      <c r="M432">
        <v>1600</v>
      </c>
      <c r="N432">
        <v>7</v>
      </c>
      <c r="O432">
        <v>5</v>
      </c>
      <c r="P432">
        <v>7</v>
      </c>
      <c r="Q432">
        <v>5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1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2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2</v>
      </c>
      <c r="JK432">
        <v>0</v>
      </c>
      <c r="JL432">
        <v>0</v>
      </c>
      <c r="JM432">
        <v>1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  <c r="NG432">
        <v>0</v>
      </c>
      <c r="NH432">
        <v>0</v>
      </c>
      <c r="NI432">
        <v>0</v>
      </c>
      <c r="NJ432">
        <v>0</v>
      </c>
      <c r="NK432">
        <v>0</v>
      </c>
      <c r="NL432">
        <v>0</v>
      </c>
      <c r="NM432">
        <v>0</v>
      </c>
      <c r="NN432">
        <v>0</v>
      </c>
      <c r="NO432">
        <v>0</v>
      </c>
      <c r="NP432">
        <v>0</v>
      </c>
      <c r="NQ432">
        <v>0</v>
      </c>
      <c r="NR432">
        <v>0</v>
      </c>
      <c r="NS432">
        <v>0</v>
      </c>
      <c r="NT432">
        <v>0</v>
      </c>
      <c r="NU432">
        <v>0</v>
      </c>
      <c r="NV432">
        <v>0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C432">
        <v>0</v>
      </c>
      <c r="OD432">
        <v>0</v>
      </c>
      <c r="OE432">
        <v>0</v>
      </c>
      <c r="OF432">
        <v>0</v>
      </c>
      <c r="OG432">
        <v>0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  <c r="PB432">
        <v>0</v>
      </c>
      <c r="PC432">
        <v>0</v>
      </c>
      <c r="PD432">
        <v>0</v>
      </c>
      <c r="PE432">
        <v>0</v>
      </c>
      <c r="PF432">
        <v>0</v>
      </c>
      <c r="PG432">
        <v>0</v>
      </c>
      <c r="PH432">
        <v>0</v>
      </c>
      <c r="PI432">
        <v>0</v>
      </c>
      <c r="PJ432">
        <v>0</v>
      </c>
      <c r="PK432">
        <v>0</v>
      </c>
      <c r="PL432">
        <v>0</v>
      </c>
      <c r="PM432">
        <v>0</v>
      </c>
      <c r="PN432">
        <v>0</v>
      </c>
      <c r="PO432">
        <v>0</v>
      </c>
      <c r="PP432">
        <v>0</v>
      </c>
      <c r="PQ432">
        <v>0</v>
      </c>
      <c r="PR432">
        <v>0</v>
      </c>
      <c r="PS432">
        <v>0</v>
      </c>
      <c r="PT432">
        <v>0</v>
      </c>
      <c r="PU432">
        <v>0</v>
      </c>
      <c r="PV432">
        <v>0</v>
      </c>
      <c r="PW432">
        <v>0</v>
      </c>
      <c r="PX432">
        <v>0</v>
      </c>
      <c r="PY432">
        <v>0</v>
      </c>
      <c r="PZ432">
        <v>0</v>
      </c>
      <c r="QA432">
        <v>0</v>
      </c>
      <c r="QB432">
        <v>0</v>
      </c>
      <c r="QC432">
        <v>0</v>
      </c>
      <c r="QD432">
        <v>0</v>
      </c>
      <c r="QE432">
        <v>0</v>
      </c>
      <c r="QF432">
        <v>0</v>
      </c>
      <c r="QG432">
        <v>0</v>
      </c>
      <c r="QH432">
        <v>0</v>
      </c>
      <c r="QI432">
        <v>0</v>
      </c>
      <c r="QJ432">
        <v>0</v>
      </c>
      <c r="QK432">
        <v>0</v>
      </c>
      <c r="QL432">
        <v>0</v>
      </c>
      <c r="QM432">
        <v>0</v>
      </c>
      <c r="QN432">
        <v>0</v>
      </c>
      <c r="QO432">
        <v>0</v>
      </c>
      <c r="QP432">
        <v>0</v>
      </c>
      <c r="QQ432">
        <v>1</v>
      </c>
      <c r="QR432">
        <v>0</v>
      </c>
      <c r="QS432">
        <v>0</v>
      </c>
      <c r="QT432">
        <v>0</v>
      </c>
      <c r="QU432">
        <v>0</v>
      </c>
      <c r="QV432">
        <v>0</v>
      </c>
      <c r="QW432">
        <v>0</v>
      </c>
      <c r="QX432">
        <v>0</v>
      </c>
      <c r="QY432">
        <v>0</v>
      </c>
    </row>
    <row r="433" spans="1:467" x14ac:dyDescent="0.4">
      <c r="A433" t="str">
        <f>"9784065299364"</f>
        <v>9784065299364</v>
      </c>
      <c r="B433" t="str">
        <f>"4065299365"</f>
        <v>4065299365</v>
      </c>
      <c r="C433" t="s">
        <v>2702</v>
      </c>
      <c r="D433" t="s">
        <v>2703</v>
      </c>
      <c r="E433" t="s">
        <v>548</v>
      </c>
      <c r="F433" t="s">
        <v>1862</v>
      </c>
      <c r="G433" t="str">
        <f>"9979"</f>
        <v>9979</v>
      </c>
      <c r="H433" t="s">
        <v>1855</v>
      </c>
      <c r="I433" t="s">
        <v>1856</v>
      </c>
      <c r="J433" t="s">
        <v>1856</v>
      </c>
      <c r="L433" s="1">
        <v>44911</v>
      </c>
      <c r="M433">
        <v>480</v>
      </c>
      <c r="N433">
        <v>7</v>
      </c>
      <c r="O433">
        <v>6</v>
      </c>
      <c r="P433">
        <v>7</v>
      </c>
      <c r="Q433">
        <v>6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1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2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1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1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1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0</v>
      </c>
      <c r="NL433">
        <v>0</v>
      </c>
      <c r="NM433">
        <v>0</v>
      </c>
      <c r="NN433">
        <v>0</v>
      </c>
      <c r="NO433">
        <v>0</v>
      </c>
      <c r="NP433">
        <v>0</v>
      </c>
      <c r="NQ433">
        <v>0</v>
      </c>
      <c r="NR433">
        <v>0</v>
      </c>
      <c r="NS433">
        <v>0</v>
      </c>
      <c r="NT433">
        <v>0</v>
      </c>
      <c r="NU433">
        <v>0</v>
      </c>
      <c r="NV433">
        <v>0</v>
      </c>
      <c r="NW433">
        <v>0</v>
      </c>
      <c r="NX433">
        <v>0</v>
      </c>
      <c r="NY433">
        <v>0</v>
      </c>
      <c r="NZ433">
        <v>0</v>
      </c>
      <c r="OA433">
        <v>0</v>
      </c>
      <c r="OB433">
        <v>0</v>
      </c>
      <c r="OC433">
        <v>0</v>
      </c>
      <c r="OD433">
        <v>0</v>
      </c>
      <c r="OE433">
        <v>0</v>
      </c>
      <c r="OF433">
        <v>0</v>
      </c>
      <c r="OG433">
        <v>0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0</v>
      </c>
      <c r="PB433">
        <v>0</v>
      </c>
      <c r="PC433">
        <v>0</v>
      </c>
      <c r="PD433">
        <v>0</v>
      </c>
      <c r="PE433">
        <v>0</v>
      </c>
      <c r="PF433">
        <v>0</v>
      </c>
      <c r="PG433">
        <v>0</v>
      </c>
      <c r="PH433">
        <v>0</v>
      </c>
      <c r="PI433">
        <v>0</v>
      </c>
      <c r="PJ433">
        <v>0</v>
      </c>
      <c r="PK433">
        <v>0</v>
      </c>
      <c r="PL433">
        <v>0</v>
      </c>
      <c r="PM433">
        <v>0</v>
      </c>
      <c r="PN433">
        <v>0</v>
      </c>
      <c r="PO433">
        <v>0</v>
      </c>
      <c r="PP433">
        <v>0</v>
      </c>
      <c r="PQ433">
        <v>0</v>
      </c>
      <c r="PR433">
        <v>0</v>
      </c>
      <c r="PS433">
        <v>0</v>
      </c>
      <c r="PT433">
        <v>1</v>
      </c>
      <c r="PU433">
        <v>0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</v>
      </c>
      <c r="QB433">
        <v>0</v>
      </c>
      <c r="QC433">
        <v>0</v>
      </c>
      <c r="QD433">
        <v>0</v>
      </c>
      <c r="QE433">
        <v>0</v>
      </c>
      <c r="QF433">
        <v>0</v>
      </c>
      <c r="QG433">
        <v>0</v>
      </c>
      <c r="QH433">
        <v>0</v>
      </c>
      <c r="QI433">
        <v>0</v>
      </c>
      <c r="QJ433">
        <v>0</v>
      </c>
      <c r="QK433">
        <v>0</v>
      </c>
      <c r="QL433">
        <v>0</v>
      </c>
      <c r="QM433">
        <v>0</v>
      </c>
      <c r="QN433">
        <v>0</v>
      </c>
      <c r="QO433">
        <v>0</v>
      </c>
      <c r="QP433">
        <v>0</v>
      </c>
      <c r="QQ433">
        <v>0</v>
      </c>
      <c r="QR433">
        <v>0</v>
      </c>
      <c r="QS433">
        <v>0</v>
      </c>
      <c r="QT433">
        <v>0</v>
      </c>
      <c r="QU433">
        <v>0</v>
      </c>
      <c r="QV433">
        <v>0</v>
      </c>
      <c r="QW433">
        <v>0</v>
      </c>
      <c r="QX433">
        <v>0</v>
      </c>
      <c r="QY433">
        <v>0</v>
      </c>
    </row>
    <row r="434" spans="1:467" hidden="1" x14ac:dyDescent="0.4">
      <c r="A434" t="str">
        <f>"9784315526578"</f>
        <v>9784315526578</v>
      </c>
      <c r="B434" t="str">
        <f>"4315526576"</f>
        <v>4315526576</v>
      </c>
      <c r="C434" t="s">
        <v>2704</v>
      </c>
      <c r="D434" t="s">
        <v>2705</v>
      </c>
      <c r="E434" t="s">
        <v>1199</v>
      </c>
      <c r="G434" t="str">
        <f>"2075"</f>
        <v>2075</v>
      </c>
      <c r="H434" t="s">
        <v>1991</v>
      </c>
      <c r="I434" t="s">
        <v>1893</v>
      </c>
      <c r="J434" t="s">
        <v>1635</v>
      </c>
      <c r="L434" s="1">
        <v>44932</v>
      </c>
      <c r="M434">
        <v>1500</v>
      </c>
      <c r="N434">
        <v>7</v>
      </c>
      <c r="O434">
        <v>7</v>
      </c>
      <c r="P434">
        <v>7</v>
      </c>
      <c r="Q434">
        <v>7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1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1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1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1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1</v>
      </c>
      <c r="NV434">
        <v>0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0</v>
      </c>
      <c r="OC434">
        <v>0</v>
      </c>
      <c r="OD434">
        <v>0</v>
      </c>
      <c r="OE434">
        <v>1</v>
      </c>
      <c r="OF434">
        <v>0</v>
      </c>
      <c r="OG434">
        <v>0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1</v>
      </c>
      <c r="OY434">
        <v>0</v>
      </c>
      <c r="OZ434">
        <v>0</v>
      </c>
      <c r="PA434">
        <v>0</v>
      </c>
      <c r="PB434">
        <v>0</v>
      </c>
      <c r="PC434">
        <v>0</v>
      </c>
      <c r="PD434">
        <v>0</v>
      </c>
      <c r="PE434">
        <v>0</v>
      </c>
      <c r="PF434">
        <v>0</v>
      </c>
      <c r="PG434">
        <v>0</v>
      </c>
      <c r="PH434">
        <v>0</v>
      </c>
      <c r="PI434">
        <v>0</v>
      </c>
      <c r="PJ434">
        <v>0</v>
      </c>
      <c r="PK434">
        <v>0</v>
      </c>
      <c r="PL434">
        <v>0</v>
      </c>
      <c r="PM434">
        <v>0</v>
      </c>
      <c r="PN434">
        <v>0</v>
      </c>
      <c r="PO434">
        <v>0</v>
      </c>
      <c r="PP434">
        <v>0</v>
      </c>
      <c r="PQ434">
        <v>0</v>
      </c>
      <c r="PR434">
        <v>0</v>
      </c>
      <c r="PS434">
        <v>0</v>
      </c>
      <c r="PT434">
        <v>0</v>
      </c>
      <c r="PU434">
        <v>0</v>
      </c>
      <c r="PV434">
        <v>0</v>
      </c>
      <c r="PW434">
        <v>0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0</v>
      </c>
      <c r="QD434">
        <v>0</v>
      </c>
      <c r="QE434">
        <v>0</v>
      </c>
      <c r="QF434">
        <v>0</v>
      </c>
      <c r="QG434">
        <v>0</v>
      </c>
      <c r="QH434">
        <v>0</v>
      </c>
      <c r="QI434">
        <v>0</v>
      </c>
      <c r="QJ434">
        <v>0</v>
      </c>
      <c r="QK434">
        <v>0</v>
      </c>
      <c r="QL434">
        <v>0</v>
      </c>
      <c r="QM434">
        <v>0</v>
      </c>
      <c r="QN434">
        <v>0</v>
      </c>
      <c r="QO434">
        <v>0</v>
      </c>
      <c r="QP434">
        <v>0</v>
      </c>
      <c r="QQ434">
        <v>0</v>
      </c>
      <c r="QR434">
        <v>0</v>
      </c>
      <c r="QS434">
        <v>0</v>
      </c>
      <c r="QT434">
        <v>0</v>
      </c>
      <c r="QU434">
        <v>0</v>
      </c>
      <c r="QV434">
        <v>0</v>
      </c>
      <c r="QW434">
        <v>0</v>
      </c>
      <c r="QX434">
        <v>0</v>
      </c>
      <c r="QY434">
        <v>0</v>
      </c>
    </row>
    <row r="435" spans="1:467" x14ac:dyDescent="0.4">
      <c r="A435" t="str">
        <f>"9784253282123"</f>
        <v>9784253282123</v>
      </c>
      <c r="B435" t="str">
        <f>"4253282121"</f>
        <v>4253282121</v>
      </c>
      <c r="C435" t="s">
        <v>2706</v>
      </c>
      <c r="D435" t="s">
        <v>2707</v>
      </c>
      <c r="E435" t="s">
        <v>2303</v>
      </c>
      <c r="F435" t="s">
        <v>2304</v>
      </c>
      <c r="G435" t="str">
        <f>"9979"</f>
        <v>9979</v>
      </c>
      <c r="H435" t="s">
        <v>1855</v>
      </c>
      <c r="I435" t="s">
        <v>1856</v>
      </c>
      <c r="J435" t="s">
        <v>1856</v>
      </c>
      <c r="L435" s="1">
        <v>44903</v>
      </c>
      <c r="M435">
        <v>480</v>
      </c>
      <c r="N435">
        <v>7</v>
      </c>
      <c r="O435">
        <v>7</v>
      </c>
      <c r="P435">
        <v>7</v>
      </c>
      <c r="Q435">
        <v>7</v>
      </c>
      <c r="R435">
        <v>0</v>
      </c>
      <c r="S435">
        <v>0</v>
      </c>
      <c r="T435">
        <v>1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1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1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1</v>
      </c>
      <c r="JG435">
        <v>0</v>
      </c>
      <c r="JH435">
        <v>1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1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1</v>
      </c>
      <c r="NF435">
        <v>0</v>
      </c>
      <c r="NG435">
        <v>0</v>
      </c>
      <c r="NH435">
        <v>0</v>
      </c>
      <c r="NI435">
        <v>0</v>
      </c>
      <c r="NJ435">
        <v>0</v>
      </c>
      <c r="NK435">
        <v>0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0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  <c r="PB435">
        <v>0</v>
      </c>
      <c r="PC435">
        <v>0</v>
      </c>
      <c r="PD435">
        <v>0</v>
      </c>
      <c r="PE435">
        <v>0</v>
      </c>
      <c r="PF435">
        <v>0</v>
      </c>
      <c r="PG435">
        <v>0</v>
      </c>
      <c r="PH435">
        <v>0</v>
      </c>
      <c r="PI435">
        <v>0</v>
      </c>
      <c r="PJ435">
        <v>0</v>
      </c>
      <c r="PK435">
        <v>0</v>
      </c>
      <c r="PL435">
        <v>0</v>
      </c>
      <c r="PM435">
        <v>0</v>
      </c>
      <c r="PN435">
        <v>0</v>
      </c>
      <c r="PO435">
        <v>0</v>
      </c>
      <c r="PP435">
        <v>0</v>
      </c>
      <c r="PQ435">
        <v>0</v>
      </c>
      <c r="PR435">
        <v>0</v>
      </c>
      <c r="PS435">
        <v>0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</v>
      </c>
      <c r="PZ435">
        <v>0</v>
      </c>
      <c r="QA435">
        <v>0</v>
      </c>
      <c r="QB435">
        <v>0</v>
      </c>
      <c r="QC435">
        <v>0</v>
      </c>
      <c r="QD435">
        <v>0</v>
      </c>
      <c r="QE435">
        <v>0</v>
      </c>
      <c r="QF435">
        <v>0</v>
      </c>
      <c r="QG435">
        <v>0</v>
      </c>
      <c r="QH435">
        <v>0</v>
      </c>
      <c r="QI435">
        <v>0</v>
      </c>
      <c r="QJ435">
        <v>0</v>
      </c>
      <c r="QK435">
        <v>0</v>
      </c>
      <c r="QL435">
        <v>0</v>
      </c>
      <c r="QM435">
        <v>0</v>
      </c>
      <c r="QN435">
        <v>0</v>
      </c>
      <c r="QO435">
        <v>0</v>
      </c>
      <c r="QP435">
        <v>0</v>
      </c>
      <c r="QQ435">
        <v>0</v>
      </c>
      <c r="QR435">
        <v>0</v>
      </c>
      <c r="QS435">
        <v>0</v>
      </c>
      <c r="QT435">
        <v>0</v>
      </c>
      <c r="QU435">
        <v>0</v>
      </c>
      <c r="QV435">
        <v>0</v>
      </c>
      <c r="QW435">
        <v>0</v>
      </c>
      <c r="QX435">
        <v>0</v>
      </c>
      <c r="QY435">
        <v>0</v>
      </c>
    </row>
    <row r="436" spans="1:467" hidden="1" x14ac:dyDescent="0.4">
      <c r="A436" t="str">
        <f>"9784790717744"</f>
        <v>9784790717744</v>
      </c>
      <c r="B436" t="str">
        <f>"4790717747"</f>
        <v>4790717747</v>
      </c>
      <c r="C436" t="s">
        <v>2708</v>
      </c>
      <c r="D436" t="s">
        <v>2709</v>
      </c>
      <c r="E436" t="s">
        <v>2710</v>
      </c>
      <c r="G436" t="str">
        <f>"0095"</f>
        <v>0095</v>
      </c>
      <c r="H436" t="s">
        <v>481</v>
      </c>
      <c r="I436" t="s">
        <v>1893</v>
      </c>
      <c r="J436" t="s">
        <v>509</v>
      </c>
      <c r="L436" s="1">
        <v>44897</v>
      </c>
      <c r="M436">
        <v>1600</v>
      </c>
      <c r="N436">
        <v>7</v>
      </c>
      <c r="O436">
        <v>7</v>
      </c>
      <c r="P436">
        <v>7</v>
      </c>
      <c r="Q436">
        <v>7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1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1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1</v>
      </c>
      <c r="FU436">
        <v>0</v>
      </c>
      <c r="FV436">
        <v>1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1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0</v>
      </c>
      <c r="NK436">
        <v>0</v>
      </c>
      <c r="NL436">
        <v>0</v>
      </c>
      <c r="NM436">
        <v>0</v>
      </c>
      <c r="NN436">
        <v>0</v>
      </c>
      <c r="NO436">
        <v>0</v>
      </c>
      <c r="NP436">
        <v>0</v>
      </c>
      <c r="NQ436">
        <v>0</v>
      </c>
      <c r="NR436">
        <v>0</v>
      </c>
      <c r="NS436">
        <v>0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1</v>
      </c>
      <c r="NZ436">
        <v>0</v>
      </c>
      <c r="OA436">
        <v>0</v>
      </c>
      <c r="OB436">
        <v>0</v>
      </c>
      <c r="OC436">
        <v>0</v>
      </c>
      <c r="OD436">
        <v>0</v>
      </c>
      <c r="OE436">
        <v>0</v>
      </c>
      <c r="OF436">
        <v>0</v>
      </c>
      <c r="OG436">
        <v>0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0</v>
      </c>
      <c r="PJ436">
        <v>0</v>
      </c>
      <c r="PK436">
        <v>0</v>
      </c>
      <c r="PL436">
        <v>0</v>
      </c>
      <c r="PM436">
        <v>0</v>
      </c>
      <c r="PN436">
        <v>0</v>
      </c>
      <c r="PO436">
        <v>0</v>
      </c>
      <c r="PP436">
        <v>0</v>
      </c>
      <c r="PQ436">
        <v>0</v>
      </c>
      <c r="PR436">
        <v>0</v>
      </c>
      <c r="PS436">
        <v>0</v>
      </c>
      <c r="PT436">
        <v>0</v>
      </c>
      <c r="PU436">
        <v>0</v>
      </c>
      <c r="PV436">
        <v>0</v>
      </c>
      <c r="PW436">
        <v>0</v>
      </c>
      <c r="PX436">
        <v>0</v>
      </c>
      <c r="PY436">
        <v>0</v>
      </c>
      <c r="PZ436">
        <v>0</v>
      </c>
      <c r="QA436">
        <v>0</v>
      </c>
      <c r="QB436">
        <v>0</v>
      </c>
      <c r="QC436">
        <v>0</v>
      </c>
      <c r="QD436">
        <v>0</v>
      </c>
      <c r="QE436">
        <v>0</v>
      </c>
      <c r="QF436">
        <v>0</v>
      </c>
      <c r="QG436">
        <v>0</v>
      </c>
      <c r="QH436">
        <v>0</v>
      </c>
      <c r="QI436">
        <v>0</v>
      </c>
      <c r="QJ436">
        <v>0</v>
      </c>
      <c r="QK436">
        <v>1</v>
      </c>
      <c r="QL436">
        <v>0</v>
      </c>
      <c r="QM436">
        <v>0</v>
      </c>
      <c r="QN436">
        <v>0</v>
      </c>
      <c r="QO436">
        <v>0</v>
      </c>
      <c r="QP436">
        <v>0</v>
      </c>
      <c r="QQ436">
        <v>0</v>
      </c>
      <c r="QR436">
        <v>0</v>
      </c>
      <c r="QS436">
        <v>0</v>
      </c>
      <c r="QT436">
        <v>0</v>
      </c>
      <c r="QU436">
        <v>0</v>
      </c>
      <c r="QV436">
        <v>0</v>
      </c>
      <c r="QW436">
        <v>0</v>
      </c>
      <c r="QX436">
        <v>0</v>
      </c>
      <c r="QY436">
        <v>0</v>
      </c>
    </row>
    <row r="437" spans="1:467" hidden="1" x14ac:dyDescent="0.4">
      <c r="A437" t="str">
        <f>"9784163915500"</f>
        <v>9784163915500</v>
      </c>
      <c r="B437" t="str">
        <f>"4163915508"</f>
        <v>4163915508</v>
      </c>
      <c r="C437" t="s">
        <v>2711</v>
      </c>
      <c r="D437" t="s">
        <v>637</v>
      </c>
      <c r="E437" t="s">
        <v>639</v>
      </c>
      <c r="G437" t="str">
        <f>"0093"</f>
        <v>0093</v>
      </c>
      <c r="H437" t="s">
        <v>481</v>
      </c>
      <c r="I437" t="s">
        <v>1893</v>
      </c>
      <c r="J437" t="s">
        <v>488</v>
      </c>
      <c r="L437" s="1">
        <v>44719</v>
      </c>
      <c r="M437">
        <v>1200</v>
      </c>
      <c r="N437">
        <v>7</v>
      </c>
      <c r="O437">
        <v>6</v>
      </c>
      <c r="P437">
        <v>7</v>
      </c>
      <c r="Q437">
        <v>6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1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1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2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1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1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  <c r="NK437">
        <v>0</v>
      </c>
      <c r="NL437">
        <v>0</v>
      </c>
      <c r="NM437">
        <v>0</v>
      </c>
      <c r="NN437">
        <v>0</v>
      </c>
      <c r="NO437">
        <v>0</v>
      </c>
      <c r="NP437">
        <v>0</v>
      </c>
      <c r="NQ437">
        <v>0</v>
      </c>
      <c r="NR437">
        <v>0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0</v>
      </c>
      <c r="OA437">
        <v>0</v>
      </c>
      <c r="OB437">
        <v>0</v>
      </c>
      <c r="OC437">
        <v>0</v>
      </c>
      <c r="OD437">
        <v>1</v>
      </c>
      <c r="OE437">
        <v>0</v>
      </c>
      <c r="OF437">
        <v>0</v>
      </c>
      <c r="OG437">
        <v>0</v>
      </c>
      <c r="OH437">
        <v>0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0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0</v>
      </c>
      <c r="PJ437">
        <v>0</v>
      </c>
      <c r="PK437">
        <v>0</v>
      </c>
      <c r="PL437">
        <v>0</v>
      </c>
      <c r="PM437">
        <v>0</v>
      </c>
      <c r="PN437">
        <v>0</v>
      </c>
      <c r="PO437">
        <v>0</v>
      </c>
      <c r="PP437">
        <v>0</v>
      </c>
      <c r="PQ437">
        <v>0</v>
      </c>
      <c r="PR437">
        <v>0</v>
      </c>
      <c r="PS437">
        <v>0</v>
      </c>
      <c r="PT437">
        <v>0</v>
      </c>
      <c r="PU437">
        <v>0</v>
      </c>
      <c r="PV437">
        <v>0</v>
      </c>
      <c r="PW437">
        <v>0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</v>
      </c>
      <c r="QG437">
        <v>0</v>
      </c>
      <c r="QH437">
        <v>0</v>
      </c>
      <c r="QI437">
        <v>0</v>
      </c>
      <c r="QJ437">
        <v>0</v>
      </c>
      <c r="QK437">
        <v>0</v>
      </c>
      <c r="QL437">
        <v>0</v>
      </c>
      <c r="QM437">
        <v>0</v>
      </c>
      <c r="QN437">
        <v>0</v>
      </c>
      <c r="QO437">
        <v>0</v>
      </c>
      <c r="QP437">
        <v>0</v>
      </c>
      <c r="QQ437">
        <v>0</v>
      </c>
      <c r="QR437">
        <v>0</v>
      </c>
      <c r="QS437">
        <v>0</v>
      </c>
      <c r="QT437">
        <v>0</v>
      </c>
      <c r="QU437">
        <v>0</v>
      </c>
      <c r="QV437">
        <v>0</v>
      </c>
      <c r="QW437">
        <v>0</v>
      </c>
      <c r="QX437">
        <v>0</v>
      </c>
      <c r="QY437">
        <v>0</v>
      </c>
    </row>
    <row r="438" spans="1:467" hidden="1" x14ac:dyDescent="0.4">
      <c r="A438" t="str">
        <f>"9784591153321"</f>
        <v>9784591153321</v>
      </c>
      <c r="B438" t="str">
        <f>"4591153320"</f>
        <v>4591153320</v>
      </c>
      <c r="C438" t="s">
        <v>2712</v>
      </c>
      <c r="D438" t="s">
        <v>496</v>
      </c>
      <c r="E438" t="s">
        <v>572</v>
      </c>
      <c r="G438" t="str">
        <f>"0093"</f>
        <v>0093</v>
      </c>
      <c r="H438" t="s">
        <v>481</v>
      </c>
      <c r="I438" t="s">
        <v>1893</v>
      </c>
      <c r="J438" t="s">
        <v>488</v>
      </c>
      <c r="L438" s="1">
        <v>42864</v>
      </c>
      <c r="M438">
        <v>1800</v>
      </c>
      <c r="N438">
        <v>7</v>
      </c>
      <c r="O438">
        <v>5</v>
      </c>
      <c r="P438">
        <v>7</v>
      </c>
      <c r="Q438">
        <v>5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1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1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2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0</v>
      </c>
      <c r="NL438">
        <v>0</v>
      </c>
      <c r="NM438">
        <v>0</v>
      </c>
      <c r="NN438">
        <v>0</v>
      </c>
      <c r="NO438">
        <v>0</v>
      </c>
      <c r="NP438">
        <v>0</v>
      </c>
      <c r="NQ438">
        <v>0</v>
      </c>
      <c r="NR438">
        <v>0</v>
      </c>
      <c r="NS438">
        <v>0</v>
      </c>
      <c r="NT438">
        <v>0</v>
      </c>
      <c r="NU438">
        <v>0</v>
      </c>
      <c r="NV438">
        <v>0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0</v>
      </c>
      <c r="OD438">
        <v>0</v>
      </c>
      <c r="OE438">
        <v>0</v>
      </c>
      <c r="OF438">
        <v>0</v>
      </c>
      <c r="OG438">
        <v>0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2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0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0</v>
      </c>
      <c r="PM438">
        <v>0</v>
      </c>
      <c r="PN438">
        <v>0</v>
      </c>
      <c r="PO438">
        <v>0</v>
      </c>
      <c r="PP438">
        <v>0</v>
      </c>
      <c r="PQ438">
        <v>0</v>
      </c>
      <c r="PR438">
        <v>0</v>
      </c>
      <c r="PS438">
        <v>0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</v>
      </c>
      <c r="QC438">
        <v>0</v>
      </c>
      <c r="QD438">
        <v>0</v>
      </c>
      <c r="QE438">
        <v>0</v>
      </c>
      <c r="QF438">
        <v>0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</v>
      </c>
      <c r="QM438">
        <v>0</v>
      </c>
      <c r="QN438">
        <v>0</v>
      </c>
      <c r="QO438">
        <v>0</v>
      </c>
      <c r="QP438">
        <v>0</v>
      </c>
      <c r="QQ438">
        <v>0</v>
      </c>
      <c r="QR438">
        <v>0</v>
      </c>
      <c r="QS438">
        <v>0</v>
      </c>
      <c r="QT438">
        <v>0</v>
      </c>
      <c r="QU438">
        <v>0</v>
      </c>
      <c r="QV438">
        <v>0</v>
      </c>
      <c r="QW438">
        <v>0</v>
      </c>
      <c r="QX438">
        <v>0</v>
      </c>
      <c r="QY438">
        <v>0</v>
      </c>
    </row>
    <row r="439" spans="1:467" hidden="1" x14ac:dyDescent="0.4">
      <c r="A439" t="str">
        <f>"9784022518095"</f>
        <v>9784022518095</v>
      </c>
      <c r="B439" t="str">
        <f>"402251809X"</f>
        <v>402251809X</v>
      </c>
      <c r="C439" t="s">
        <v>2713</v>
      </c>
      <c r="D439" t="s">
        <v>2714</v>
      </c>
      <c r="E439" t="s">
        <v>498</v>
      </c>
      <c r="G439" t="str">
        <f>"0095"</f>
        <v>0095</v>
      </c>
      <c r="H439" t="s">
        <v>481</v>
      </c>
      <c r="I439" t="s">
        <v>1893</v>
      </c>
      <c r="J439" t="s">
        <v>509</v>
      </c>
      <c r="L439" s="1">
        <v>44870</v>
      </c>
      <c r="M439">
        <v>1600</v>
      </c>
      <c r="N439">
        <v>7</v>
      </c>
      <c r="O439">
        <v>7</v>
      </c>
      <c r="P439">
        <v>7</v>
      </c>
      <c r="Q439">
        <v>7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1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1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1</v>
      </c>
      <c r="JM439">
        <v>0</v>
      </c>
      <c r="JN439">
        <v>0</v>
      </c>
      <c r="JO439">
        <v>0</v>
      </c>
      <c r="JP439">
        <v>0</v>
      </c>
      <c r="JQ439">
        <v>1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1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0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1</v>
      </c>
      <c r="ON439">
        <v>0</v>
      </c>
      <c r="OO439">
        <v>0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0</v>
      </c>
      <c r="PA439">
        <v>0</v>
      </c>
      <c r="PB439">
        <v>0</v>
      </c>
      <c r="PC439">
        <v>0</v>
      </c>
      <c r="PD439">
        <v>0</v>
      </c>
      <c r="PE439">
        <v>0</v>
      </c>
      <c r="PF439">
        <v>0</v>
      </c>
      <c r="PG439">
        <v>0</v>
      </c>
      <c r="PH439">
        <v>0</v>
      </c>
      <c r="PI439">
        <v>0</v>
      </c>
      <c r="PJ439">
        <v>0</v>
      </c>
      <c r="PK439">
        <v>0</v>
      </c>
      <c r="PL439">
        <v>0</v>
      </c>
      <c r="PM439">
        <v>0</v>
      </c>
      <c r="PN439">
        <v>0</v>
      </c>
      <c r="PO439">
        <v>0</v>
      </c>
      <c r="PP439">
        <v>0</v>
      </c>
      <c r="PQ439">
        <v>0</v>
      </c>
      <c r="PR439">
        <v>0</v>
      </c>
      <c r="PS439">
        <v>0</v>
      </c>
      <c r="PT439">
        <v>0</v>
      </c>
      <c r="PU439">
        <v>0</v>
      </c>
      <c r="PV439">
        <v>0</v>
      </c>
      <c r="PW439">
        <v>0</v>
      </c>
      <c r="PX439">
        <v>0</v>
      </c>
      <c r="PY439">
        <v>0</v>
      </c>
      <c r="PZ439">
        <v>0</v>
      </c>
      <c r="QA439">
        <v>0</v>
      </c>
      <c r="QB439">
        <v>0</v>
      </c>
      <c r="QC439">
        <v>0</v>
      </c>
      <c r="QD439">
        <v>0</v>
      </c>
      <c r="QE439">
        <v>0</v>
      </c>
      <c r="QF439">
        <v>0</v>
      </c>
      <c r="QG439">
        <v>0</v>
      </c>
      <c r="QH439">
        <v>0</v>
      </c>
      <c r="QI439">
        <v>0</v>
      </c>
      <c r="QJ439">
        <v>0</v>
      </c>
      <c r="QK439">
        <v>0</v>
      </c>
      <c r="QL439">
        <v>0</v>
      </c>
      <c r="QM439">
        <v>0</v>
      </c>
      <c r="QN439">
        <v>0</v>
      </c>
      <c r="QO439">
        <v>0</v>
      </c>
      <c r="QP439">
        <v>0</v>
      </c>
      <c r="QQ439">
        <v>0</v>
      </c>
      <c r="QR439">
        <v>0</v>
      </c>
      <c r="QS439">
        <v>0</v>
      </c>
      <c r="QT439">
        <v>0</v>
      </c>
      <c r="QU439">
        <v>0</v>
      </c>
      <c r="QV439">
        <v>0</v>
      </c>
      <c r="QW439">
        <v>0</v>
      </c>
      <c r="QX439">
        <v>0</v>
      </c>
      <c r="QY439">
        <v>0</v>
      </c>
    </row>
    <row r="440" spans="1:467" x14ac:dyDescent="0.4">
      <c r="A440" t="str">
        <f>"9784088830117"</f>
        <v>9784088830117</v>
      </c>
      <c r="B440" t="str">
        <f>"4088830113"</f>
        <v>4088830113</v>
      </c>
      <c r="C440" t="s">
        <v>2715</v>
      </c>
      <c r="D440" t="s">
        <v>1900</v>
      </c>
      <c r="E440" t="s">
        <v>536</v>
      </c>
      <c r="F440" t="s">
        <v>1854</v>
      </c>
      <c r="G440" t="str">
        <f>"9979"</f>
        <v>9979</v>
      </c>
      <c r="H440" t="s">
        <v>1855</v>
      </c>
      <c r="I440" t="s">
        <v>1856</v>
      </c>
      <c r="J440" t="s">
        <v>1856</v>
      </c>
      <c r="L440" s="1">
        <v>44596</v>
      </c>
      <c r="M440">
        <v>440</v>
      </c>
      <c r="N440">
        <v>7</v>
      </c>
      <c r="O440">
        <v>6</v>
      </c>
      <c r="P440">
        <v>7</v>
      </c>
      <c r="Q440">
        <v>6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1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2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1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1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1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1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>
        <v>0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0</v>
      </c>
      <c r="PN440">
        <v>0</v>
      </c>
      <c r="PO440">
        <v>0</v>
      </c>
      <c r="PP440">
        <v>0</v>
      </c>
      <c r="PQ440">
        <v>0</v>
      </c>
      <c r="PR440">
        <v>0</v>
      </c>
      <c r="PS440">
        <v>0</v>
      </c>
      <c r="PT440">
        <v>0</v>
      </c>
      <c r="PU440">
        <v>0</v>
      </c>
      <c r="PV440">
        <v>0</v>
      </c>
      <c r="PW440">
        <v>0</v>
      </c>
      <c r="PX440">
        <v>0</v>
      </c>
      <c r="PY440">
        <v>0</v>
      </c>
      <c r="PZ440">
        <v>0</v>
      </c>
      <c r="QA440">
        <v>0</v>
      </c>
      <c r="QB440">
        <v>0</v>
      </c>
      <c r="QC440">
        <v>0</v>
      </c>
      <c r="QD440">
        <v>0</v>
      </c>
      <c r="QE440">
        <v>0</v>
      </c>
      <c r="QF440">
        <v>0</v>
      </c>
      <c r="QG440">
        <v>0</v>
      </c>
      <c r="QH440">
        <v>0</v>
      </c>
      <c r="QI440">
        <v>0</v>
      </c>
      <c r="QJ440">
        <v>0</v>
      </c>
      <c r="QK440">
        <v>0</v>
      </c>
      <c r="QL440">
        <v>0</v>
      </c>
      <c r="QM440">
        <v>0</v>
      </c>
      <c r="QN440">
        <v>0</v>
      </c>
      <c r="QO440">
        <v>0</v>
      </c>
      <c r="QP440">
        <v>0</v>
      </c>
      <c r="QQ440">
        <v>0</v>
      </c>
      <c r="QR440">
        <v>0</v>
      </c>
      <c r="QS440">
        <v>0</v>
      </c>
      <c r="QT440">
        <v>0</v>
      </c>
      <c r="QU440">
        <v>0</v>
      </c>
      <c r="QV440">
        <v>0</v>
      </c>
      <c r="QW440">
        <v>0</v>
      </c>
      <c r="QX440">
        <v>0</v>
      </c>
      <c r="QY440">
        <v>0</v>
      </c>
    </row>
    <row r="441" spans="1:467" x14ac:dyDescent="0.4">
      <c r="A441" t="str">
        <f>"9784088828039"</f>
        <v>9784088828039</v>
      </c>
      <c r="B441" t="str">
        <f>"4088828038"</f>
        <v>4088828038</v>
      </c>
      <c r="C441" t="s">
        <v>2716</v>
      </c>
      <c r="D441" t="s">
        <v>1853</v>
      </c>
      <c r="E441" t="s">
        <v>536</v>
      </c>
      <c r="F441" t="s">
        <v>1935</v>
      </c>
      <c r="G441" t="str">
        <f>"9979"</f>
        <v>9979</v>
      </c>
      <c r="H441" t="s">
        <v>1855</v>
      </c>
      <c r="I441" t="s">
        <v>1856</v>
      </c>
      <c r="J441" t="s">
        <v>1856</v>
      </c>
      <c r="L441" s="1">
        <v>44473</v>
      </c>
      <c r="M441">
        <v>440</v>
      </c>
      <c r="N441">
        <v>7</v>
      </c>
      <c r="O441">
        <v>6</v>
      </c>
      <c r="P441">
        <v>7</v>
      </c>
      <c r="Q441">
        <v>6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1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1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2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1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1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0</v>
      </c>
      <c r="PF441">
        <v>0</v>
      </c>
      <c r="PG441">
        <v>0</v>
      </c>
      <c r="PH441">
        <v>0</v>
      </c>
      <c r="PI441">
        <v>0</v>
      </c>
      <c r="PJ441">
        <v>0</v>
      </c>
      <c r="PK441">
        <v>0</v>
      </c>
      <c r="PL441">
        <v>0</v>
      </c>
      <c r="PM441">
        <v>0</v>
      </c>
      <c r="PN441">
        <v>0</v>
      </c>
      <c r="PO441">
        <v>0</v>
      </c>
      <c r="PP441">
        <v>0</v>
      </c>
      <c r="PQ441">
        <v>0</v>
      </c>
      <c r="PR441">
        <v>0</v>
      </c>
      <c r="PS441">
        <v>0</v>
      </c>
      <c r="PT441">
        <v>0</v>
      </c>
      <c r="PU441">
        <v>0</v>
      </c>
      <c r="PV441">
        <v>0</v>
      </c>
      <c r="PW441">
        <v>0</v>
      </c>
      <c r="PX441">
        <v>0</v>
      </c>
      <c r="PY441">
        <v>0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</v>
      </c>
      <c r="QQ441">
        <v>0</v>
      </c>
      <c r="QR441">
        <v>0</v>
      </c>
      <c r="QS441">
        <v>0</v>
      </c>
      <c r="QT441">
        <v>0</v>
      </c>
      <c r="QU441">
        <v>0</v>
      </c>
      <c r="QV441">
        <v>0</v>
      </c>
      <c r="QW441">
        <v>0</v>
      </c>
      <c r="QX441">
        <v>0</v>
      </c>
      <c r="QY441">
        <v>0</v>
      </c>
    </row>
    <row r="442" spans="1:467" x14ac:dyDescent="0.4">
      <c r="A442" t="str">
        <f>"9784088925677"</f>
        <v>9784088925677</v>
      </c>
      <c r="B442" t="str">
        <f>"408892567X"</f>
        <v>408892567X</v>
      </c>
      <c r="C442" t="s">
        <v>2717</v>
      </c>
      <c r="D442" t="s">
        <v>2718</v>
      </c>
      <c r="E442" t="s">
        <v>536</v>
      </c>
      <c r="F442" t="s">
        <v>1859</v>
      </c>
      <c r="G442" t="str">
        <f>"9979"</f>
        <v>9979</v>
      </c>
      <c r="H442" t="s">
        <v>1855</v>
      </c>
      <c r="I442" t="s">
        <v>1856</v>
      </c>
      <c r="J442" t="s">
        <v>1856</v>
      </c>
      <c r="L442" s="1">
        <v>44914</v>
      </c>
      <c r="M442">
        <v>680</v>
      </c>
      <c r="N442">
        <v>7</v>
      </c>
      <c r="O442">
        <v>6</v>
      </c>
      <c r="P442">
        <v>7</v>
      </c>
      <c r="Q442">
        <v>6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1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1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1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1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0</v>
      </c>
      <c r="NZ442">
        <v>0</v>
      </c>
      <c r="OA442">
        <v>0</v>
      </c>
      <c r="OB442">
        <v>0</v>
      </c>
      <c r="OC442">
        <v>0</v>
      </c>
      <c r="OD442">
        <v>0</v>
      </c>
      <c r="OE442">
        <v>0</v>
      </c>
      <c r="OF442">
        <v>0</v>
      </c>
      <c r="OG442">
        <v>0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0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0</v>
      </c>
      <c r="PN442">
        <v>0</v>
      </c>
      <c r="PO442">
        <v>0</v>
      </c>
      <c r="PP442">
        <v>0</v>
      </c>
      <c r="PQ442">
        <v>0</v>
      </c>
      <c r="PR442">
        <v>0</v>
      </c>
      <c r="PS442">
        <v>0</v>
      </c>
      <c r="PT442">
        <v>0</v>
      </c>
      <c r="PU442">
        <v>0</v>
      </c>
      <c r="PV442">
        <v>0</v>
      </c>
      <c r="PW442">
        <v>0</v>
      </c>
      <c r="PX442">
        <v>0</v>
      </c>
      <c r="PY442">
        <v>0</v>
      </c>
      <c r="PZ442">
        <v>0</v>
      </c>
      <c r="QA442">
        <v>0</v>
      </c>
      <c r="QB442">
        <v>0</v>
      </c>
      <c r="QC442">
        <v>0</v>
      </c>
      <c r="QD442">
        <v>0</v>
      </c>
      <c r="QE442">
        <v>0</v>
      </c>
      <c r="QF442">
        <v>0</v>
      </c>
      <c r="QG442">
        <v>0</v>
      </c>
      <c r="QH442">
        <v>0</v>
      </c>
      <c r="QI442">
        <v>0</v>
      </c>
      <c r="QJ442">
        <v>0</v>
      </c>
      <c r="QK442">
        <v>0</v>
      </c>
      <c r="QL442">
        <v>0</v>
      </c>
      <c r="QM442">
        <v>0</v>
      </c>
      <c r="QN442">
        <v>0</v>
      </c>
      <c r="QO442">
        <v>0</v>
      </c>
      <c r="QP442">
        <v>0</v>
      </c>
      <c r="QQ442">
        <v>2</v>
      </c>
      <c r="QR442">
        <v>0</v>
      </c>
      <c r="QS442">
        <v>0</v>
      </c>
      <c r="QT442">
        <v>0</v>
      </c>
      <c r="QU442">
        <v>0</v>
      </c>
      <c r="QV442">
        <v>0</v>
      </c>
      <c r="QW442">
        <v>0</v>
      </c>
      <c r="QX442">
        <v>0</v>
      </c>
      <c r="QY442">
        <v>0</v>
      </c>
    </row>
    <row r="443" spans="1:467" x14ac:dyDescent="0.4">
      <c r="A443" t="str">
        <f>"9784088924298"</f>
        <v>9784088924298</v>
      </c>
      <c r="B443" t="str">
        <f>"4088924290"</f>
        <v>4088924290</v>
      </c>
      <c r="C443" t="s">
        <v>2719</v>
      </c>
      <c r="D443" t="s">
        <v>1867</v>
      </c>
      <c r="E443" t="s">
        <v>536</v>
      </c>
      <c r="F443" t="s">
        <v>1859</v>
      </c>
      <c r="G443" t="str">
        <f>"9979"</f>
        <v>9979</v>
      </c>
      <c r="H443" t="s">
        <v>1855</v>
      </c>
      <c r="I443" t="s">
        <v>1856</v>
      </c>
      <c r="J443" t="s">
        <v>1856</v>
      </c>
      <c r="L443" s="1">
        <v>44853</v>
      </c>
      <c r="M443">
        <v>630</v>
      </c>
      <c r="N443">
        <v>7</v>
      </c>
      <c r="O443">
        <v>7</v>
      </c>
      <c r="P443">
        <v>7</v>
      </c>
      <c r="Q443">
        <v>7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0</v>
      </c>
      <c r="FX443">
        <v>0</v>
      </c>
      <c r="FY443">
        <v>1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1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1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0</v>
      </c>
      <c r="NJ443">
        <v>0</v>
      </c>
      <c r="NK443">
        <v>0</v>
      </c>
      <c r="NL443">
        <v>0</v>
      </c>
      <c r="NM443">
        <v>0</v>
      </c>
      <c r="NN443">
        <v>0</v>
      </c>
      <c r="NO443">
        <v>0</v>
      </c>
      <c r="NP443">
        <v>0</v>
      </c>
      <c r="NQ443">
        <v>0</v>
      </c>
      <c r="NR443">
        <v>0</v>
      </c>
      <c r="NS443">
        <v>0</v>
      </c>
      <c r="NT443">
        <v>0</v>
      </c>
      <c r="NU443">
        <v>0</v>
      </c>
      <c r="NV443">
        <v>0</v>
      </c>
      <c r="NW443">
        <v>0</v>
      </c>
      <c r="NX443">
        <v>0</v>
      </c>
      <c r="NY443">
        <v>1</v>
      </c>
      <c r="NZ443">
        <v>0</v>
      </c>
      <c r="OA443">
        <v>0</v>
      </c>
      <c r="OB443">
        <v>0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1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0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0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</v>
      </c>
      <c r="QC443">
        <v>0</v>
      </c>
      <c r="QD443">
        <v>0</v>
      </c>
      <c r="QE443">
        <v>0</v>
      </c>
      <c r="QF443">
        <v>0</v>
      </c>
      <c r="QG443">
        <v>0</v>
      </c>
      <c r="QH443">
        <v>0</v>
      </c>
      <c r="QI443">
        <v>0</v>
      </c>
      <c r="QJ443">
        <v>0</v>
      </c>
      <c r="QK443">
        <v>0</v>
      </c>
      <c r="QL443">
        <v>0</v>
      </c>
      <c r="QM443">
        <v>0</v>
      </c>
      <c r="QN443">
        <v>0</v>
      </c>
      <c r="QO443">
        <v>0</v>
      </c>
      <c r="QP443">
        <v>0</v>
      </c>
      <c r="QQ443">
        <v>0</v>
      </c>
      <c r="QR443">
        <v>0</v>
      </c>
      <c r="QS443">
        <v>0</v>
      </c>
      <c r="QT443">
        <v>0</v>
      </c>
      <c r="QU443">
        <v>0</v>
      </c>
      <c r="QV443">
        <v>0</v>
      </c>
      <c r="QW443">
        <v>0</v>
      </c>
      <c r="QX443">
        <v>0</v>
      </c>
      <c r="QY443">
        <v>0</v>
      </c>
    </row>
    <row r="444" spans="1:467" hidden="1" x14ac:dyDescent="0.4">
      <c r="A444" t="str">
        <f>"9784103526827"</f>
        <v>9784103526827</v>
      </c>
      <c r="B444" t="str">
        <f>"4103526823"</f>
        <v>4103526823</v>
      </c>
      <c r="C444" t="s">
        <v>2720</v>
      </c>
      <c r="D444" t="s">
        <v>843</v>
      </c>
      <c r="E444" t="s">
        <v>516</v>
      </c>
      <c r="G444" t="str">
        <f>"0095"</f>
        <v>0095</v>
      </c>
      <c r="H444" t="s">
        <v>481</v>
      </c>
      <c r="I444" t="s">
        <v>1893</v>
      </c>
      <c r="J444" t="s">
        <v>509</v>
      </c>
      <c r="L444" s="1">
        <v>44454</v>
      </c>
      <c r="M444">
        <v>1300</v>
      </c>
      <c r="N444">
        <v>7</v>
      </c>
      <c r="O444">
        <v>5</v>
      </c>
      <c r="P444">
        <v>7</v>
      </c>
      <c r="Q444">
        <v>5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1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1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1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2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2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  <c r="NK444">
        <v>0</v>
      </c>
      <c r="NL444">
        <v>0</v>
      </c>
      <c r="NM444">
        <v>0</v>
      </c>
      <c r="NN444">
        <v>0</v>
      </c>
      <c r="NO444">
        <v>0</v>
      </c>
      <c r="NP444">
        <v>0</v>
      </c>
      <c r="NQ444">
        <v>0</v>
      </c>
      <c r="NR444">
        <v>0</v>
      </c>
      <c r="NS444">
        <v>0</v>
      </c>
      <c r="NT444">
        <v>0</v>
      </c>
      <c r="NU444">
        <v>0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0</v>
      </c>
      <c r="OJ444">
        <v>0</v>
      </c>
      <c r="OK444">
        <v>0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0</v>
      </c>
      <c r="PE444">
        <v>0</v>
      </c>
      <c r="PF444">
        <v>0</v>
      </c>
      <c r="PG444">
        <v>0</v>
      </c>
      <c r="PH444">
        <v>0</v>
      </c>
      <c r="PI444">
        <v>0</v>
      </c>
      <c r="PJ444">
        <v>0</v>
      </c>
      <c r="PK444">
        <v>0</v>
      </c>
      <c r="PL444">
        <v>0</v>
      </c>
      <c r="PM444">
        <v>0</v>
      </c>
      <c r="PN444">
        <v>0</v>
      </c>
      <c r="PO444">
        <v>0</v>
      </c>
      <c r="PP444">
        <v>0</v>
      </c>
      <c r="PQ444">
        <v>0</v>
      </c>
      <c r="PR444">
        <v>0</v>
      </c>
      <c r="PS444">
        <v>0</v>
      </c>
      <c r="PT444">
        <v>0</v>
      </c>
      <c r="PU444">
        <v>0</v>
      </c>
      <c r="PV444">
        <v>0</v>
      </c>
      <c r="PW444">
        <v>0</v>
      </c>
      <c r="PX444">
        <v>0</v>
      </c>
      <c r="PY444">
        <v>0</v>
      </c>
      <c r="PZ444">
        <v>0</v>
      </c>
      <c r="QA444">
        <v>0</v>
      </c>
      <c r="QB444">
        <v>0</v>
      </c>
      <c r="QC444">
        <v>0</v>
      </c>
      <c r="QD444">
        <v>0</v>
      </c>
      <c r="QE444">
        <v>0</v>
      </c>
      <c r="QF444">
        <v>0</v>
      </c>
      <c r="QG444">
        <v>0</v>
      </c>
      <c r="QH444">
        <v>0</v>
      </c>
      <c r="QI444">
        <v>0</v>
      </c>
      <c r="QJ444">
        <v>0</v>
      </c>
      <c r="QK444">
        <v>0</v>
      </c>
      <c r="QL444">
        <v>0</v>
      </c>
      <c r="QM444">
        <v>0</v>
      </c>
      <c r="QN444">
        <v>0</v>
      </c>
      <c r="QO444">
        <v>0</v>
      </c>
      <c r="QP444">
        <v>0</v>
      </c>
      <c r="QQ444">
        <v>0</v>
      </c>
      <c r="QR444">
        <v>0</v>
      </c>
      <c r="QS444">
        <v>0</v>
      </c>
      <c r="QT444">
        <v>0</v>
      </c>
      <c r="QU444">
        <v>0</v>
      </c>
      <c r="QV444">
        <v>0</v>
      </c>
      <c r="QW444">
        <v>0</v>
      </c>
      <c r="QX444">
        <v>0</v>
      </c>
      <c r="QY444">
        <v>0</v>
      </c>
    </row>
    <row r="445" spans="1:467" x14ac:dyDescent="0.4">
      <c r="A445" t="str">
        <f>"9784088818764"</f>
        <v>9784088818764</v>
      </c>
      <c r="B445" t="str">
        <f>"4088818768"</f>
        <v>4088818768</v>
      </c>
      <c r="C445" t="s">
        <v>2721</v>
      </c>
      <c r="D445" t="s">
        <v>1869</v>
      </c>
      <c r="E445" t="s">
        <v>536</v>
      </c>
      <c r="F445" t="s">
        <v>1854</v>
      </c>
      <c r="G445" t="str">
        <f>"9979"</f>
        <v>9979</v>
      </c>
      <c r="H445" t="s">
        <v>1855</v>
      </c>
      <c r="I445" t="s">
        <v>1856</v>
      </c>
      <c r="J445" t="s">
        <v>1856</v>
      </c>
      <c r="L445" s="1">
        <v>43650</v>
      </c>
      <c r="M445">
        <v>440</v>
      </c>
      <c r="N445">
        <v>7</v>
      </c>
      <c r="O445">
        <v>6</v>
      </c>
      <c r="P445">
        <v>7</v>
      </c>
      <c r="Q445">
        <v>6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1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1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1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2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1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1</v>
      </c>
      <c r="NA445">
        <v>0</v>
      </c>
      <c r="NB445">
        <v>0</v>
      </c>
      <c r="NC445">
        <v>0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0</v>
      </c>
      <c r="NL445">
        <v>0</v>
      </c>
      <c r="NM445">
        <v>0</v>
      </c>
      <c r="NN445">
        <v>0</v>
      </c>
      <c r="NO445">
        <v>0</v>
      </c>
      <c r="NP445">
        <v>0</v>
      </c>
      <c r="NQ445">
        <v>0</v>
      </c>
      <c r="NR445">
        <v>0</v>
      </c>
      <c r="NS445">
        <v>0</v>
      </c>
      <c r="NT445">
        <v>0</v>
      </c>
      <c r="NU445">
        <v>0</v>
      </c>
      <c r="NV445">
        <v>0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0</v>
      </c>
      <c r="OG445">
        <v>0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0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0</v>
      </c>
      <c r="PA445">
        <v>0</v>
      </c>
      <c r="PB445">
        <v>0</v>
      </c>
      <c r="PC445">
        <v>0</v>
      </c>
      <c r="PD445">
        <v>0</v>
      </c>
      <c r="PE445">
        <v>0</v>
      </c>
      <c r="PF445">
        <v>0</v>
      </c>
      <c r="PG445">
        <v>0</v>
      </c>
      <c r="PH445">
        <v>0</v>
      </c>
      <c r="PI445">
        <v>0</v>
      </c>
      <c r="PJ445">
        <v>0</v>
      </c>
      <c r="PK445">
        <v>0</v>
      </c>
      <c r="PL445">
        <v>0</v>
      </c>
      <c r="PM445">
        <v>0</v>
      </c>
      <c r="PN445">
        <v>0</v>
      </c>
      <c r="PO445">
        <v>0</v>
      </c>
      <c r="PP445">
        <v>0</v>
      </c>
      <c r="PQ445">
        <v>0</v>
      </c>
      <c r="PR445">
        <v>0</v>
      </c>
      <c r="PS445">
        <v>0</v>
      </c>
      <c r="PT445">
        <v>0</v>
      </c>
      <c r="PU445">
        <v>0</v>
      </c>
      <c r="PV445">
        <v>0</v>
      </c>
      <c r="PW445">
        <v>0</v>
      </c>
      <c r="PX445">
        <v>0</v>
      </c>
      <c r="PY445">
        <v>0</v>
      </c>
      <c r="PZ445">
        <v>0</v>
      </c>
      <c r="QA445">
        <v>0</v>
      </c>
      <c r="QB445">
        <v>0</v>
      </c>
      <c r="QC445">
        <v>0</v>
      </c>
      <c r="QD445">
        <v>0</v>
      </c>
      <c r="QE445">
        <v>0</v>
      </c>
      <c r="QF445">
        <v>0</v>
      </c>
      <c r="QG445">
        <v>0</v>
      </c>
      <c r="QH445">
        <v>0</v>
      </c>
      <c r="QI445">
        <v>0</v>
      </c>
      <c r="QJ445">
        <v>0</v>
      </c>
      <c r="QK445">
        <v>0</v>
      </c>
      <c r="QL445">
        <v>0</v>
      </c>
      <c r="QM445">
        <v>0</v>
      </c>
      <c r="QN445">
        <v>0</v>
      </c>
      <c r="QO445">
        <v>0</v>
      </c>
      <c r="QP445">
        <v>0</v>
      </c>
      <c r="QQ445">
        <v>0</v>
      </c>
      <c r="QR445">
        <v>0</v>
      </c>
      <c r="QS445">
        <v>0</v>
      </c>
      <c r="QT445">
        <v>0</v>
      </c>
      <c r="QU445">
        <v>0</v>
      </c>
      <c r="QV445">
        <v>0</v>
      </c>
      <c r="QW445">
        <v>0</v>
      </c>
      <c r="QX445">
        <v>0</v>
      </c>
      <c r="QY445">
        <v>0</v>
      </c>
    </row>
    <row r="446" spans="1:467" hidden="1" x14ac:dyDescent="0.4">
      <c r="A446" t="str">
        <f>"9784533151590"</f>
        <v>9784533151590</v>
      </c>
      <c r="B446" t="str">
        <f>"4533151590"</f>
        <v>4533151590</v>
      </c>
      <c r="C446" t="s">
        <v>2722</v>
      </c>
      <c r="E446" t="s">
        <v>2312</v>
      </c>
      <c r="F446" t="s">
        <v>2313</v>
      </c>
      <c r="G446" t="str">
        <f>"9426"</f>
        <v>9426</v>
      </c>
      <c r="H446" t="s">
        <v>1855</v>
      </c>
      <c r="I446" t="s">
        <v>1884</v>
      </c>
      <c r="J446" t="s">
        <v>2110</v>
      </c>
      <c r="L446" s="1">
        <v>44894</v>
      </c>
      <c r="M446">
        <v>980</v>
      </c>
      <c r="N446">
        <v>7</v>
      </c>
      <c r="O446">
        <v>7</v>
      </c>
      <c r="P446">
        <v>7</v>
      </c>
      <c r="Q446">
        <v>7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1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1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1</v>
      </c>
      <c r="JQ446">
        <v>1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1</v>
      </c>
      <c r="LX446">
        <v>1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  <c r="NK446">
        <v>0</v>
      </c>
      <c r="NL446">
        <v>0</v>
      </c>
      <c r="NM446">
        <v>0</v>
      </c>
      <c r="NN446">
        <v>0</v>
      </c>
      <c r="NO446">
        <v>0</v>
      </c>
      <c r="NP446">
        <v>0</v>
      </c>
      <c r="NQ446">
        <v>0</v>
      </c>
      <c r="NR446">
        <v>0</v>
      </c>
      <c r="NS446">
        <v>0</v>
      </c>
      <c r="NT446">
        <v>0</v>
      </c>
      <c r="NU446">
        <v>0</v>
      </c>
      <c r="NV446">
        <v>0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C446">
        <v>0</v>
      </c>
      <c r="OD446">
        <v>0</v>
      </c>
      <c r="OE446">
        <v>0</v>
      </c>
      <c r="OF446">
        <v>0</v>
      </c>
      <c r="OG446">
        <v>0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</v>
      </c>
      <c r="PQ446">
        <v>0</v>
      </c>
      <c r="PR446">
        <v>0</v>
      </c>
      <c r="PS446">
        <v>0</v>
      </c>
      <c r="PT446">
        <v>0</v>
      </c>
      <c r="PU446">
        <v>0</v>
      </c>
      <c r="PV446">
        <v>0</v>
      </c>
      <c r="PW446">
        <v>0</v>
      </c>
      <c r="PX446">
        <v>0</v>
      </c>
      <c r="PY446">
        <v>0</v>
      </c>
      <c r="PZ446">
        <v>0</v>
      </c>
      <c r="QA446">
        <v>0</v>
      </c>
      <c r="QB446">
        <v>0</v>
      </c>
      <c r="QC446">
        <v>0</v>
      </c>
      <c r="QD446">
        <v>0</v>
      </c>
      <c r="QE446">
        <v>0</v>
      </c>
      <c r="QF446">
        <v>0</v>
      </c>
      <c r="QG446">
        <v>0</v>
      </c>
      <c r="QH446">
        <v>0</v>
      </c>
      <c r="QI446">
        <v>0</v>
      </c>
      <c r="QJ446">
        <v>0</v>
      </c>
      <c r="QK446">
        <v>0</v>
      </c>
      <c r="QL446">
        <v>0</v>
      </c>
      <c r="QM446">
        <v>0</v>
      </c>
      <c r="QN446">
        <v>0</v>
      </c>
      <c r="QO446">
        <v>0</v>
      </c>
      <c r="QP446">
        <v>0</v>
      </c>
      <c r="QQ446">
        <v>0</v>
      </c>
      <c r="QR446">
        <v>0</v>
      </c>
      <c r="QS446">
        <v>0</v>
      </c>
      <c r="QT446">
        <v>0</v>
      </c>
      <c r="QU446">
        <v>0</v>
      </c>
      <c r="QV446">
        <v>0</v>
      </c>
      <c r="QW446">
        <v>0</v>
      </c>
      <c r="QX446">
        <v>0</v>
      </c>
      <c r="QY446">
        <v>0</v>
      </c>
    </row>
    <row r="447" spans="1:467" hidden="1" x14ac:dyDescent="0.4">
      <c r="A447" t="str">
        <f>"9784469222760"</f>
        <v>9784469222760</v>
      </c>
      <c r="B447" t="str">
        <f>"4469222763"</f>
        <v>4469222763</v>
      </c>
      <c r="C447" t="s">
        <v>2723</v>
      </c>
      <c r="D447" t="s">
        <v>2724</v>
      </c>
      <c r="E447" t="s">
        <v>1977</v>
      </c>
      <c r="G447" t="str">
        <f>"3091"</f>
        <v>3091</v>
      </c>
      <c r="H447" t="s">
        <v>761</v>
      </c>
      <c r="I447" t="s">
        <v>1893</v>
      </c>
      <c r="J447" t="s">
        <v>558</v>
      </c>
      <c r="L447" s="1">
        <v>44816</v>
      </c>
      <c r="M447">
        <v>2800</v>
      </c>
      <c r="N447">
        <v>7</v>
      </c>
      <c r="O447">
        <v>5</v>
      </c>
      <c r="P447">
        <v>7</v>
      </c>
      <c r="Q447">
        <v>5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2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1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2</v>
      </c>
      <c r="JN447">
        <v>0</v>
      </c>
      <c r="JO447">
        <v>0</v>
      </c>
      <c r="JP447">
        <v>1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1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  <c r="NK447">
        <v>0</v>
      </c>
      <c r="NL447">
        <v>0</v>
      </c>
      <c r="NM447">
        <v>0</v>
      </c>
      <c r="NN447">
        <v>0</v>
      </c>
      <c r="NO447">
        <v>0</v>
      </c>
      <c r="NP447">
        <v>0</v>
      </c>
      <c r="NQ447">
        <v>0</v>
      </c>
      <c r="NR447">
        <v>0</v>
      </c>
      <c r="NS447">
        <v>0</v>
      </c>
      <c r="NT447">
        <v>0</v>
      </c>
      <c r="NU447">
        <v>0</v>
      </c>
      <c r="NV447">
        <v>0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0</v>
      </c>
      <c r="PL447">
        <v>0</v>
      </c>
      <c r="PM447">
        <v>0</v>
      </c>
      <c r="PN447">
        <v>0</v>
      </c>
      <c r="PO447">
        <v>0</v>
      </c>
      <c r="PP447">
        <v>0</v>
      </c>
      <c r="PQ447">
        <v>0</v>
      </c>
      <c r="PR447">
        <v>0</v>
      </c>
      <c r="PS447">
        <v>0</v>
      </c>
      <c r="PT447">
        <v>0</v>
      </c>
      <c r="PU447">
        <v>0</v>
      </c>
      <c r="PV447">
        <v>0</v>
      </c>
      <c r="PW447">
        <v>0</v>
      </c>
      <c r="PX447">
        <v>0</v>
      </c>
      <c r="PY447">
        <v>0</v>
      </c>
      <c r="PZ447">
        <v>0</v>
      </c>
      <c r="QA447">
        <v>0</v>
      </c>
      <c r="QB447">
        <v>0</v>
      </c>
      <c r="QC447">
        <v>0</v>
      </c>
      <c r="QD447">
        <v>0</v>
      </c>
      <c r="QE447">
        <v>0</v>
      </c>
      <c r="QF447">
        <v>0</v>
      </c>
      <c r="QG447">
        <v>0</v>
      </c>
      <c r="QH447">
        <v>0</v>
      </c>
      <c r="QI447">
        <v>0</v>
      </c>
      <c r="QJ447">
        <v>0</v>
      </c>
      <c r="QK447">
        <v>0</v>
      </c>
      <c r="QL447">
        <v>0</v>
      </c>
      <c r="QM447">
        <v>0</v>
      </c>
      <c r="QN447">
        <v>0</v>
      </c>
      <c r="QO447">
        <v>0</v>
      </c>
      <c r="QP447">
        <v>0</v>
      </c>
      <c r="QQ447">
        <v>0</v>
      </c>
      <c r="QR447">
        <v>0</v>
      </c>
      <c r="QS447">
        <v>0</v>
      </c>
      <c r="QT447">
        <v>0</v>
      </c>
      <c r="QU447">
        <v>0</v>
      </c>
      <c r="QV447">
        <v>0</v>
      </c>
      <c r="QW447">
        <v>0</v>
      </c>
      <c r="QX447">
        <v>0</v>
      </c>
      <c r="QY447">
        <v>0</v>
      </c>
    </row>
    <row r="448" spans="1:467" hidden="1" x14ac:dyDescent="0.4">
      <c r="A448" t="str">
        <f>"9784163902043"</f>
        <v>9784163902043</v>
      </c>
      <c r="B448" t="str">
        <f>"416390204X"</f>
        <v>416390204X</v>
      </c>
      <c r="C448" t="s">
        <v>2725</v>
      </c>
      <c r="D448" t="s">
        <v>2726</v>
      </c>
      <c r="E448" t="s">
        <v>639</v>
      </c>
      <c r="G448" t="str">
        <f>"0098"</f>
        <v>0098</v>
      </c>
      <c r="H448" t="s">
        <v>481</v>
      </c>
      <c r="I448" t="s">
        <v>1893</v>
      </c>
      <c r="J448" t="s">
        <v>1894</v>
      </c>
      <c r="L448" s="1">
        <v>42182</v>
      </c>
      <c r="M448">
        <v>1750</v>
      </c>
      <c r="N448">
        <v>7</v>
      </c>
      <c r="O448">
        <v>5</v>
      </c>
      <c r="P448">
        <v>7</v>
      </c>
      <c r="Q448">
        <v>5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2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2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1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1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0</v>
      </c>
      <c r="NG448">
        <v>0</v>
      </c>
      <c r="NH448">
        <v>0</v>
      </c>
      <c r="NI448">
        <v>0</v>
      </c>
      <c r="NJ448">
        <v>0</v>
      </c>
      <c r="NK448">
        <v>0</v>
      </c>
      <c r="NL448">
        <v>0</v>
      </c>
      <c r="NM448">
        <v>0</v>
      </c>
      <c r="NN448">
        <v>0</v>
      </c>
      <c r="NO448">
        <v>0</v>
      </c>
      <c r="NP448">
        <v>0</v>
      </c>
      <c r="NQ448">
        <v>0</v>
      </c>
      <c r="NR448">
        <v>0</v>
      </c>
      <c r="NS448">
        <v>0</v>
      </c>
      <c r="NT448">
        <v>0</v>
      </c>
      <c r="NU448">
        <v>0</v>
      </c>
      <c r="NV448">
        <v>0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C448">
        <v>0</v>
      </c>
      <c r="OD448">
        <v>0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0</v>
      </c>
      <c r="OU448">
        <v>0</v>
      </c>
      <c r="OV448">
        <v>0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0</v>
      </c>
      <c r="PM448">
        <v>0</v>
      </c>
      <c r="PN448">
        <v>0</v>
      </c>
      <c r="PO448">
        <v>0</v>
      </c>
      <c r="PP448">
        <v>0</v>
      </c>
      <c r="PQ448">
        <v>0</v>
      </c>
      <c r="PR448">
        <v>0</v>
      </c>
      <c r="PS448">
        <v>0</v>
      </c>
      <c r="PT448">
        <v>0</v>
      </c>
      <c r="PU448">
        <v>0</v>
      </c>
      <c r="PV448">
        <v>0</v>
      </c>
      <c r="PW448">
        <v>0</v>
      </c>
      <c r="PX448">
        <v>0</v>
      </c>
      <c r="PY448">
        <v>0</v>
      </c>
      <c r="PZ448">
        <v>0</v>
      </c>
      <c r="QA448">
        <v>0</v>
      </c>
      <c r="QB448">
        <v>0</v>
      </c>
      <c r="QC448">
        <v>0</v>
      </c>
      <c r="QD448">
        <v>0</v>
      </c>
      <c r="QE448">
        <v>0</v>
      </c>
      <c r="QF448">
        <v>0</v>
      </c>
      <c r="QG448">
        <v>0</v>
      </c>
      <c r="QH448">
        <v>0</v>
      </c>
      <c r="QI448">
        <v>0</v>
      </c>
      <c r="QJ448">
        <v>0</v>
      </c>
      <c r="QK448">
        <v>0</v>
      </c>
      <c r="QL448">
        <v>0</v>
      </c>
      <c r="QM448">
        <v>0</v>
      </c>
      <c r="QN448">
        <v>0</v>
      </c>
      <c r="QO448">
        <v>0</v>
      </c>
      <c r="QP448">
        <v>0</v>
      </c>
      <c r="QQ448">
        <v>1</v>
      </c>
      <c r="QR448">
        <v>0</v>
      </c>
      <c r="QS448">
        <v>0</v>
      </c>
      <c r="QT448">
        <v>0</v>
      </c>
      <c r="QU448">
        <v>0</v>
      </c>
      <c r="QV448">
        <v>0</v>
      </c>
      <c r="QW448">
        <v>0</v>
      </c>
      <c r="QX448">
        <v>0</v>
      </c>
      <c r="QY448">
        <v>0</v>
      </c>
    </row>
    <row r="449" spans="1:467" x14ac:dyDescent="0.4">
      <c r="A449" t="str">
        <f>"9784088831503"</f>
        <v>9784088831503</v>
      </c>
      <c r="B449" t="str">
        <f>"4088831500"</f>
        <v>4088831500</v>
      </c>
      <c r="C449" t="s">
        <v>2727</v>
      </c>
      <c r="D449" t="s">
        <v>2228</v>
      </c>
      <c r="E449" t="s">
        <v>536</v>
      </c>
      <c r="F449" t="s">
        <v>1854</v>
      </c>
      <c r="G449" t="str">
        <f>"9979"</f>
        <v>9979</v>
      </c>
      <c r="H449" t="s">
        <v>1855</v>
      </c>
      <c r="I449" t="s">
        <v>1856</v>
      </c>
      <c r="J449" t="s">
        <v>1856</v>
      </c>
      <c r="L449" s="1">
        <v>44715</v>
      </c>
      <c r="M449">
        <v>440</v>
      </c>
      <c r="N449">
        <v>7</v>
      </c>
      <c r="O449">
        <v>7</v>
      </c>
      <c r="P449">
        <v>7</v>
      </c>
      <c r="Q449">
        <v>7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1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1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1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1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1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  <c r="NK449">
        <v>0</v>
      </c>
      <c r="NL449">
        <v>0</v>
      </c>
      <c r="NM449">
        <v>0</v>
      </c>
      <c r="NN449">
        <v>0</v>
      </c>
      <c r="NO449">
        <v>0</v>
      </c>
      <c r="NP449">
        <v>0</v>
      </c>
      <c r="NQ449">
        <v>0</v>
      </c>
      <c r="NR449">
        <v>0</v>
      </c>
      <c r="NS449">
        <v>0</v>
      </c>
      <c r="NT449">
        <v>0</v>
      </c>
      <c r="NU449">
        <v>0</v>
      </c>
      <c r="NV449">
        <v>0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0</v>
      </c>
      <c r="OC449">
        <v>0</v>
      </c>
      <c r="OD449">
        <v>0</v>
      </c>
      <c r="OE449">
        <v>0</v>
      </c>
      <c r="OF449">
        <v>0</v>
      </c>
      <c r="OG449">
        <v>1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1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</v>
      </c>
      <c r="PQ449">
        <v>0</v>
      </c>
      <c r="PR449">
        <v>0</v>
      </c>
      <c r="PS449">
        <v>0</v>
      </c>
      <c r="PT449">
        <v>0</v>
      </c>
      <c r="PU449">
        <v>0</v>
      </c>
      <c r="PV449">
        <v>0</v>
      </c>
      <c r="PW449">
        <v>0</v>
      </c>
      <c r="PX449">
        <v>0</v>
      </c>
      <c r="PY449">
        <v>0</v>
      </c>
      <c r="PZ449">
        <v>0</v>
      </c>
      <c r="QA449">
        <v>0</v>
      </c>
      <c r="QB449">
        <v>0</v>
      </c>
      <c r="QC449">
        <v>0</v>
      </c>
      <c r="QD449">
        <v>0</v>
      </c>
      <c r="QE449">
        <v>0</v>
      </c>
      <c r="QF449">
        <v>0</v>
      </c>
      <c r="QG449">
        <v>0</v>
      </c>
      <c r="QH449">
        <v>0</v>
      </c>
      <c r="QI449">
        <v>0</v>
      </c>
      <c r="QJ449">
        <v>0</v>
      </c>
      <c r="QK449">
        <v>0</v>
      </c>
      <c r="QL449">
        <v>0</v>
      </c>
      <c r="QM449">
        <v>0</v>
      </c>
      <c r="QN449">
        <v>0</v>
      </c>
      <c r="QO449">
        <v>0</v>
      </c>
      <c r="QP449">
        <v>0</v>
      </c>
      <c r="QQ449">
        <v>0</v>
      </c>
      <c r="QR449">
        <v>0</v>
      </c>
      <c r="QS449">
        <v>0</v>
      </c>
      <c r="QT449">
        <v>0</v>
      </c>
      <c r="QU449">
        <v>0</v>
      </c>
      <c r="QV449">
        <v>0</v>
      </c>
      <c r="QW449">
        <v>0</v>
      </c>
      <c r="QX449">
        <v>0</v>
      </c>
      <c r="QY449">
        <v>0</v>
      </c>
    </row>
    <row r="450" spans="1:467" x14ac:dyDescent="0.4">
      <c r="A450" t="str">
        <f>"9784088801919"</f>
        <v>9784088801919</v>
      </c>
      <c r="B450" t="str">
        <f>"4088801911"</f>
        <v>4088801911</v>
      </c>
      <c r="C450" t="s">
        <v>2728</v>
      </c>
      <c r="D450" t="s">
        <v>2184</v>
      </c>
      <c r="E450" t="s">
        <v>536</v>
      </c>
      <c r="F450" t="s">
        <v>1854</v>
      </c>
      <c r="G450" t="str">
        <f>"9979"</f>
        <v>9979</v>
      </c>
      <c r="H450" t="s">
        <v>1855</v>
      </c>
      <c r="I450" t="s">
        <v>1856</v>
      </c>
      <c r="J450" t="s">
        <v>1856</v>
      </c>
      <c r="L450" s="1">
        <v>41915</v>
      </c>
      <c r="M450">
        <v>440</v>
      </c>
      <c r="N450">
        <v>7</v>
      </c>
      <c r="O450">
        <v>1</v>
      </c>
      <c r="P450">
        <v>7</v>
      </c>
      <c r="Q450">
        <v>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7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0</v>
      </c>
      <c r="NA450">
        <v>0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  <c r="NK450">
        <v>0</v>
      </c>
      <c r="NL450">
        <v>0</v>
      </c>
      <c r="NM450">
        <v>0</v>
      </c>
      <c r="NN450">
        <v>0</v>
      </c>
      <c r="NO450">
        <v>0</v>
      </c>
      <c r="NP450">
        <v>0</v>
      </c>
      <c r="NQ450">
        <v>0</v>
      </c>
      <c r="NR450">
        <v>0</v>
      </c>
      <c r="NS450">
        <v>0</v>
      </c>
      <c r="NT450">
        <v>0</v>
      </c>
      <c r="NU450">
        <v>0</v>
      </c>
      <c r="NV450">
        <v>0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C450">
        <v>0</v>
      </c>
      <c r="OD450">
        <v>0</v>
      </c>
      <c r="OE450">
        <v>0</v>
      </c>
      <c r="OF450">
        <v>0</v>
      </c>
      <c r="OG450">
        <v>0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0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0</v>
      </c>
      <c r="PB450">
        <v>0</v>
      </c>
      <c r="PC450">
        <v>0</v>
      </c>
      <c r="PD450">
        <v>0</v>
      </c>
      <c r="PE450">
        <v>0</v>
      </c>
      <c r="PF450">
        <v>0</v>
      </c>
      <c r="PG450">
        <v>0</v>
      </c>
      <c r="PH450">
        <v>0</v>
      </c>
      <c r="PI450">
        <v>0</v>
      </c>
      <c r="PJ450">
        <v>0</v>
      </c>
      <c r="PK450">
        <v>0</v>
      </c>
      <c r="PL450">
        <v>0</v>
      </c>
      <c r="PM450">
        <v>0</v>
      </c>
      <c r="PN450">
        <v>0</v>
      </c>
      <c r="PO450">
        <v>0</v>
      </c>
      <c r="PP450">
        <v>0</v>
      </c>
      <c r="PQ450">
        <v>0</v>
      </c>
      <c r="PR450">
        <v>0</v>
      </c>
      <c r="PS450">
        <v>0</v>
      </c>
      <c r="PT450">
        <v>0</v>
      </c>
      <c r="PU450">
        <v>0</v>
      </c>
      <c r="PV450">
        <v>0</v>
      </c>
      <c r="PW450">
        <v>0</v>
      </c>
      <c r="PX450">
        <v>0</v>
      </c>
      <c r="PY450">
        <v>0</v>
      </c>
      <c r="PZ450">
        <v>0</v>
      </c>
      <c r="QA450">
        <v>0</v>
      </c>
      <c r="QB450">
        <v>0</v>
      </c>
      <c r="QC450">
        <v>0</v>
      </c>
      <c r="QD450">
        <v>0</v>
      </c>
      <c r="QE450">
        <v>0</v>
      </c>
      <c r="QF450">
        <v>0</v>
      </c>
      <c r="QG450">
        <v>0</v>
      </c>
      <c r="QH450">
        <v>0</v>
      </c>
      <c r="QI450">
        <v>0</v>
      </c>
      <c r="QJ450">
        <v>0</v>
      </c>
      <c r="QK450">
        <v>0</v>
      </c>
      <c r="QL450">
        <v>0</v>
      </c>
      <c r="QM450">
        <v>0</v>
      </c>
      <c r="QN450">
        <v>0</v>
      </c>
      <c r="QO450">
        <v>0</v>
      </c>
      <c r="QP450">
        <v>0</v>
      </c>
      <c r="QQ450">
        <v>0</v>
      </c>
      <c r="QR450">
        <v>0</v>
      </c>
      <c r="QS450">
        <v>0</v>
      </c>
      <c r="QT450">
        <v>0</v>
      </c>
      <c r="QU450">
        <v>0</v>
      </c>
      <c r="QV450">
        <v>0</v>
      </c>
      <c r="QW450">
        <v>0</v>
      </c>
      <c r="QX450">
        <v>0</v>
      </c>
      <c r="QY450">
        <v>0</v>
      </c>
    </row>
    <row r="451" spans="1:467" hidden="1" x14ac:dyDescent="0.4">
      <c r="A451" t="str">
        <f>"9784763409232"</f>
        <v>9784763409232</v>
      </c>
      <c r="B451" t="str">
        <f>"4763409239"</f>
        <v>4763409239</v>
      </c>
      <c r="C451" t="s">
        <v>2729</v>
      </c>
      <c r="D451" t="s">
        <v>2730</v>
      </c>
      <c r="E451" t="s">
        <v>2731</v>
      </c>
      <c r="G451" t="str">
        <f>"0098"</f>
        <v>0098</v>
      </c>
      <c r="H451" t="s">
        <v>481</v>
      </c>
      <c r="I451" t="s">
        <v>1893</v>
      </c>
      <c r="J451" t="s">
        <v>1894</v>
      </c>
      <c r="L451" s="1">
        <v>43946</v>
      </c>
      <c r="M451">
        <v>1800</v>
      </c>
      <c r="N451">
        <v>7</v>
      </c>
      <c r="O451">
        <v>6</v>
      </c>
      <c r="P451">
        <v>7</v>
      </c>
      <c r="Q451">
        <v>6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2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1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1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1</v>
      </c>
      <c r="MM451">
        <v>0</v>
      </c>
      <c r="MN451">
        <v>1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  <c r="NK451">
        <v>0</v>
      </c>
      <c r="NL451">
        <v>0</v>
      </c>
      <c r="NM451">
        <v>0</v>
      </c>
      <c r="NN451">
        <v>0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</row>
    <row r="452" spans="1:467" hidden="1" x14ac:dyDescent="0.4">
      <c r="A452" t="str">
        <f>"9784103145356"</f>
        <v>9784103145356</v>
      </c>
      <c r="B452" t="str">
        <f>"4103145358"</f>
        <v>4103145358</v>
      </c>
      <c r="C452" t="s">
        <v>2732</v>
      </c>
      <c r="D452" t="s">
        <v>1107</v>
      </c>
      <c r="E452" t="s">
        <v>516</v>
      </c>
      <c r="G452" t="str">
        <f>"0095"</f>
        <v>0095</v>
      </c>
      <c r="H452" t="s">
        <v>481</v>
      </c>
      <c r="I452" t="s">
        <v>1893</v>
      </c>
      <c r="J452" t="s">
        <v>509</v>
      </c>
      <c r="L452" s="1">
        <v>44915</v>
      </c>
      <c r="M452">
        <v>1500</v>
      </c>
      <c r="N452">
        <v>7</v>
      </c>
      <c r="O452">
        <v>6</v>
      </c>
      <c r="P452">
        <v>7</v>
      </c>
      <c r="Q452">
        <v>6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</v>
      </c>
      <c r="CI452">
        <v>2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1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1</v>
      </c>
      <c r="LT452">
        <v>0</v>
      </c>
      <c r="LU452">
        <v>0</v>
      </c>
      <c r="LV452">
        <v>0</v>
      </c>
      <c r="LW452">
        <v>1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0</v>
      </c>
      <c r="NL452">
        <v>0</v>
      </c>
      <c r="NM452">
        <v>0</v>
      </c>
      <c r="NN452">
        <v>0</v>
      </c>
      <c r="NO452">
        <v>0</v>
      </c>
      <c r="NP452">
        <v>0</v>
      </c>
      <c r="NQ452">
        <v>0</v>
      </c>
      <c r="NR452">
        <v>0</v>
      </c>
      <c r="NS452">
        <v>0</v>
      </c>
      <c r="NT452">
        <v>0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C452">
        <v>0</v>
      </c>
      <c r="OD452">
        <v>0</v>
      </c>
      <c r="OE452">
        <v>0</v>
      </c>
      <c r="OF452">
        <v>0</v>
      </c>
      <c r="OG452">
        <v>0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  <c r="PB452">
        <v>0</v>
      </c>
      <c r="PC452">
        <v>0</v>
      </c>
      <c r="PD452">
        <v>0</v>
      </c>
      <c r="PE452">
        <v>0</v>
      </c>
      <c r="PF452">
        <v>0</v>
      </c>
      <c r="PG452">
        <v>0</v>
      </c>
      <c r="PH452">
        <v>0</v>
      </c>
      <c r="PI452">
        <v>0</v>
      </c>
      <c r="PJ452">
        <v>0</v>
      </c>
      <c r="PK452">
        <v>0</v>
      </c>
      <c r="PL452">
        <v>0</v>
      </c>
      <c r="PM452">
        <v>0</v>
      </c>
      <c r="PN452">
        <v>0</v>
      </c>
      <c r="PO452">
        <v>0</v>
      </c>
      <c r="PP452">
        <v>0</v>
      </c>
      <c r="PQ452">
        <v>0</v>
      </c>
      <c r="PR452">
        <v>0</v>
      </c>
      <c r="PS452">
        <v>0</v>
      </c>
      <c r="PT452">
        <v>1</v>
      </c>
      <c r="PU452">
        <v>0</v>
      </c>
      <c r="PV452">
        <v>0</v>
      </c>
      <c r="PW452">
        <v>0</v>
      </c>
      <c r="PX452">
        <v>0</v>
      </c>
      <c r="PY452">
        <v>0</v>
      </c>
      <c r="PZ452">
        <v>0</v>
      </c>
      <c r="QA452">
        <v>0</v>
      </c>
      <c r="QB452">
        <v>0</v>
      </c>
      <c r="QC452">
        <v>0</v>
      </c>
      <c r="QD452">
        <v>0</v>
      </c>
      <c r="QE452">
        <v>0</v>
      </c>
      <c r="QF452">
        <v>0</v>
      </c>
      <c r="QG452">
        <v>0</v>
      </c>
      <c r="QH452">
        <v>0</v>
      </c>
      <c r="QI452">
        <v>0</v>
      </c>
      <c r="QJ452">
        <v>0</v>
      </c>
      <c r="QK452">
        <v>0</v>
      </c>
      <c r="QL452">
        <v>0</v>
      </c>
      <c r="QM452">
        <v>0</v>
      </c>
      <c r="QN452">
        <v>0</v>
      </c>
      <c r="QO452">
        <v>0</v>
      </c>
      <c r="QP452">
        <v>0</v>
      </c>
      <c r="QQ452">
        <v>0</v>
      </c>
      <c r="QR452">
        <v>0</v>
      </c>
      <c r="QS452">
        <v>0</v>
      </c>
      <c r="QT452">
        <v>0</v>
      </c>
      <c r="QU452">
        <v>0</v>
      </c>
      <c r="QV452">
        <v>0</v>
      </c>
      <c r="QW452">
        <v>0</v>
      </c>
      <c r="QX452">
        <v>0</v>
      </c>
      <c r="QY452">
        <v>0</v>
      </c>
    </row>
    <row r="453" spans="1:467" hidden="1" x14ac:dyDescent="0.4">
      <c r="A453" t="str">
        <f>"9784000615464"</f>
        <v>9784000615464</v>
      </c>
      <c r="B453" t="str">
        <f>"4000615467"</f>
        <v>4000615467</v>
      </c>
      <c r="C453" t="s">
        <v>2733</v>
      </c>
      <c r="D453" t="s">
        <v>2385</v>
      </c>
      <c r="E453" t="s">
        <v>521</v>
      </c>
      <c r="G453" t="str">
        <f>"0079"</f>
        <v>0079</v>
      </c>
      <c r="H453" t="s">
        <v>481</v>
      </c>
      <c r="I453" t="s">
        <v>1893</v>
      </c>
      <c r="J453" t="s">
        <v>1856</v>
      </c>
      <c r="L453" s="1">
        <v>44750</v>
      </c>
      <c r="M453">
        <v>2400</v>
      </c>
      <c r="N453">
        <v>7</v>
      </c>
      <c r="O453">
        <v>6</v>
      </c>
      <c r="P453">
        <v>7</v>
      </c>
      <c r="Q453">
        <v>6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1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1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1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1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2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0</v>
      </c>
      <c r="NL453">
        <v>0</v>
      </c>
      <c r="NM453">
        <v>0</v>
      </c>
      <c r="NN453">
        <v>0</v>
      </c>
      <c r="NO453">
        <v>0</v>
      </c>
      <c r="NP453">
        <v>0</v>
      </c>
      <c r="NQ453">
        <v>0</v>
      </c>
      <c r="NR453">
        <v>0</v>
      </c>
      <c r="NS453">
        <v>0</v>
      </c>
      <c r="NT453">
        <v>0</v>
      </c>
      <c r="NU453">
        <v>0</v>
      </c>
      <c r="NV453">
        <v>0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0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1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0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0</v>
      </c>
      <c r="QQ453">
        <v>0</v>
      </c>
      <c r="QR453">
        <v>0</v>
      </c>
      <c r="QS453">
        <v>0</v>
      </c>
      <c r="QT453">
        <v>0</v>
      </c>
      <c r="QU453">
        <v>0</v>
      </c>
      <c r="QV453">
        <v>0</v>
      </c>
      <c r="QW453">
        <v>0</v>
      </c>
      <c r="QX453">
        <v>0</v>
      </c>
      <c r="QY453">
        <v>0</v>
      </c>
    </row>
    <row r="454" spans="1:467" hidden="1" x14ac:dyDescent="0.4">
      <c r="A454" t="str">
        <f>"9784000615471"</f>
        <v>9784000615471</v>
      </c>
      <c r="B454" t="str">
        <f>"4000615475"</f>
        <v>4000615475</v>
      </c>
      <c r="C454" t="s">
        <v>2734</v>
      </c>
      <c r="D454" t="s">
        <v>2385</v>
      </c>
      <c r="E454" t="s">
        <v>521</v>
      </c>
      <c r="G454" t="str">
        <f>"0079"</f>
        <v>0079</v>
      </c>
      <c r="H454" t="s">
        <v>481</v>
      </c>
      <c r="I454" t="s">
        <v>1893</v>
      </c>
      <c r="J454" t="s">
        <v>1856</v>
      </c>
      <c r="L454" s="1">
        <v>44848</v>
      </c>
      <c r="M454">
        <v>2400</v>
      </c>
      <c r="N454">
        <v>7</v>
      </c>
      <c r="O454">
        <v>6</v>
      </c>
      <c r="P454">
        <v>7</v>
      </c>
      <c r="Q454">
        <v>6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1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1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1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1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2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0</v>
      </c>
      <c r="NK454">
        <v>0</v>
      </c>
      <c r="NL454">
        <v>0</v>
      </c>
      <c r="NM454">
        <v>0</v>
      </c>
      <c r="NN454">
        <v>0</v>
      </c>
      <c r="NO454">
        <v>0</v>
      </c>
      <c r="NP454">
        <v>0</v>
      </c>
      <c r="NQ454">
        <v>0</v>
      </c>
      <c r="NR454">
        <v>0</v>
      </c>
      <c r="NS454">
        <v>0</v>
      </c>
      <c r="NT454">
        <v>0</v>
      </c>
      <c r="NU454">
        <v>0</v>
      </c>
      <c r="NV454">
        <v>0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C454">
        <v>0</v>
      </c>
      <c r="OD454">
        <v>0</v>
      </c>
      <c r="OE454">
        <v>0</v>
      </c>
      <c r="OF454">
        <v>0</v>
      </c>
      <c r="OG454">
        <v>0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0</v>
      </c>
      <c r="PB454">
        <v>0</v>
      </c>
      <c r="PC454">
        <v>0</v>
      </c>
      <c r="PD454">
        <v>0</v>
      </c>
      <c r="PE454">
        <v>0</v>
      </c>
      <c r="PF454">
        <v>0</v>
      </c>
      <c r="PG454">
        <v>0</v>
      </c>
      <c r="PH454">
        <v>0</v>
      </c>
      <c r="PI454">
        <v>1</v>
      </c>
      <c r="PJ454">
        <v>0</v>
      </c>
      <c r="PK454">
        <v>0</v>
      </c>
      <c r="PL454">
        <v>0</v>
      </c>
      <c r="PM454">
        <v>0</v>
      </c>
      <c r="PN454">
        <v>0</v>
      </c>
      <c r="PO454">
        <v>0</v>
      </c>
      <c r="PP454">
        <v>0</v>
      </c>
      <c r="PQ454">
        <v>0</v>
      </c>
      <c r="PR454">
        <v>0</v>
      </c>
      <c r="PS454">
        <v>0</v>
      </c>
      <c r="PT454">
        <v>0</v>
      </c>
      <c r="PU454">
        <v>0</v>
      </c>
      <c r="PV454">
        <v>0</v>
      </c>
      <c r="PW454">
        <v>0</v>
      </c>
      <c r="PX454">
        <v>0</v>
      </c>
      <c r="PY454">
        <v>0</v>
      </c>
      <c r="PZ454">
        <v>0</v>
      </c>
      <c r="QA454">
        <v>0</v>
      </c>
      <c r="QB454">
        <v>0</v>
      </c>
      <c r="QC454">
        <v>0</v>
      </c>
      <c r="QD454">
        <v>0</v>
      </c>
      <c r="QE454">
        <v>0</v>
      </c>
      <c r="QF454">
        <v>0</v>
      </c>
      <c r="QG454">
        <v>0</v>
      </c>
      <c r="QH454">
        <v>0</v>
      </c>
      <c r="QI454">
        <v>0</v>
      </c>
      <c r="QJ454">
        <v>0</v>
      </c>
      <c r="QK454">
        <v>0</v>
      </c>
      <c r="QL454">
        <v>0</v>
      </c>
      <c r="QM454">
        <v>0</v>
      </c>
      <c r="QN454">
        <v>0</v>
      </c>
      <c r="QO454">
        <v>0</v>
      </c>
      <c r="QP454">
        <v>0</v>
      </c>
      <c r="QQ454">
        <v>0</v>
      </c>
      <c r="QR454">
        <v>0</v>
      </c>
      <c r="QS454">
        <v>0</v>
      </c>
      <c r="QT454">
        <v>0</v>
      </c>
      <c r="QU454">
        <v>0</v>
      </c>
      <c r="QV454">
        <v>0</v>
      </c>
      <c r="QW454">
        <v>0</v>
      </c>
      <c r="QX454">
        <v>0</v>
      </c>
      <c r="QY454">
        <v>0</v>
      </c>
    </row>
    <row r="455" spans="1:467" hidden="1" x14ac:dyDescent="0.4">
      <c r="A455" t="str">
        <f>"9784787274496"</f>
        <v>9784787274496</v>
      </c>
      <c r="B455" t="str">
        <f>"478727449X"</f>
        <v>478727449X</v>
      </c>
      <c r="C455" t="s">
        <v>2735</v>
      </c>
      <c r="D455" t="s">
        <v>2736</v>
      </c>
      <c r="E455" t="s">
        <v>2095</v>
      </c>
      <c r="G455" t="str">
        <f>"0073"</f>
        <v>0073</v>
      </c>
      <c r="H455" t="s">
        <v>481</v>
      </c>
      <c r="I455" t="s">
        <v>1893</v>
      </c>
      <c r="J455" t="s">
        <v>794</v>
      </c>
      <c r="L455" s="1">
        <v>44764</v>
      </c>
      <c r="M455">
        <v>1600</v>
      </c>
      <c r="N455">
        <v>7</v>
      </c>
      <c r="O455">
        <v>5</v>
      </c>
      <c r="P455">
        <v>7</v>
      </c>
      <c r="Q455">
        <v>5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2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1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0</v>
      </c>
      <c r="MS455">
        <v>0</v>
      </c>
      <c r="MT455">
        <v>0</v>
      </c>
      <c r="MU455">
        <v>0</v>
      </c>
      <c r="MV455">
        <v>1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0</v>
      </c>
      <c r="NK455">
        <v>0</v>
      </c>
      <c r="NL455">
        <v>0</v>
      </c>
      <c r="NM455">
        <v>0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0</v>
      </c>
      <c r="NV455">
        <v>0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0</v>
      </c>
      <c r="OC455">
        <v>0</v>
      </c>
      <c r="OD455">
        <v>0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0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1</v>
      </c>
      <c r="PN455">
        <v>0</v>
      </c>
      <c r="PO455">
        <v>0</v>
      </c>
      <c r="PP455">
        <v>0</v>
      </c>
      <c r="PQ455">
        <v>0</v>
      </c>
      <c r="PR455">
        <v>0</v>
      </c>
      <c r="PS455">
        <v>0</v>
      </c>
      <c r="PT455">
        <v>0</v>
      </c>
      <c r="PU455">
        <v>0</v>
      </c>
      <c r="PV455">
        <v>0</v>
      </c>
      <c r="PW455">
        <v>0</v>
      </c>
      <c r="PX455">
        <v>0</v>
      </c>
      <c r="PY455">
        <v>0</v>
      </c>
      <c r="PZ455">
        <v>0</v>
      </c>
      <c r="QA455">
        <v>0</v>
      </c>
      <c r="QB455">
        <v>0</v>
      </c>
      <c r="QC455">
        <v>0</v>
      </c>
      <c r="QD455">
        <v>0</v>
      </c>
      <c r="QE455">
        <v>0</v>
      </c>
      <c r="QF455">
        <v>0</v>
      </c>
      <c r="QG455">
        <v>0</v>
      </c>
      <c r="QH455">
        <v>0</v>
      </c>
      <c r="QI455">
        <v>2</v>
      </c>
      <c r="QJ455">
        <v>0</v>
      </c>
      <c r="QK455">
        <v>0</v>
      </c>
      <c r="QL455">
        <v>0</v>
      </c>
      <c r="QM455">
        <v>0</v>
      </c>
      <c r="QN455">
        <v>0</v>
      </c>
      <c r="QO455">
        <v>0</v>
      </c>
      <c r="QP455">
        <v>0</v>
      </c>
      <c r="QQ455">
        <v>0</v>
      </c>
      <c r="QR455">
        <v>0</v>
      </c>
      <c r="QS455">
        <v>0</v>
      </c>
      <c r="QT455">
        <v>0</v>
      </c>
      <c r="QU455">
        <v>0</v>
      </c>
      <c r="QV455">
        <v>0</v>
      </c>
      <c r="QW455">
        <v>0</v>
      </c>
      <c r="QX455">
        <v>0</v>
      </c>
      <c r="QY455">
        <v>0</v>
      </c>
    </row>
    <row r="456" spans="1:467" hidden="1" x14ac:dyDescent="0.4">
      <c r="A456" t="str">
        <f>"9785111111111"</f>
        <v>9785111111111</v>
      </c>
      <c r="B456" t="str">
        <f>"5111111115"</f>
        <v>5111111115</v>
      </c>
      <c r="G456" t="str">
        <f>""</f>
        <v/>
      </c>
      <c r="L456" s="1">
        <v>42707</v>
      </c>
      <c r="M456">
        <v>0</v>
      </c>
      <c r="N456">
        <v>7</v>
      </c>
      <c r="O456">
        <v>1</v>
      </c>
      <c r="P456">
        <v>7</v>
      </c>
      <c r="Q456">
        <v>1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7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  <c r="NK456">
        <v>0</v>
      </c>
      <c r="NL456">
        <v>0</v>
      </c>
      <c r="NM456">
        <v>0</v>
      </c>
      <c r="NN456">
        <v>0</v>
      </c>
      <c r="NO456">
        <v>0</v>
      </c>
      <c r="NP456">
        <v>0</v>
      </c>
      <c r="NQ456">
        <v>0</v>
      </c>
      <c r="NR456">
        <v>0</v>
      </c>
      <c r="NS456">
        <v>0</v>
      </c>
      <c r="NT456">
        <v>0</v>
      </c>
      <c r="NU456">
        <v>0</v>
      </c>
      <c r="NV456">
        <v>0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C456">
        <v>0</v>
      </c>
      <c r="OD456">
        <v>0</v>
      </c>
      <c r="OE456">
        <v>0</v>
      </c>
      <c r="OF456">
        <v>0</v>
      </c>
      <c r="OG456">
        <v>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0</v>
      </c>
      <c r="OX456">
        <v>0</v>
      </c>
      <c r="OY456">
        <v>0</v>
      </c>
      <c r="OZ456">
        <v>0</v>
      </c>
      <c r="PA456">
        <v>0</v>
      </c>
      <c r="PB456">
        <v>0</v>
      </c>
      <c r="PC456">
        <v>0</v>
      </c>
      <c r="PD456">
        <v>0</v>
      </c>
      <c r="PE456">
        <v>0</v>
      </c>
      <c r="PF456">
        <v>0</v>
      </c>
      <c r="PG456">
        <v>0</v>
      </c>
      <c r="PH456">
        <v>0</v>
      </c>
      <c r="PI456">
        <v>0</v>
      </c>
      <c r="PJ456">
        <v>0</v>
      </c>
      <c r="PK456">
        <v>0</v>
      </c>
      <c r="PL456">
        <v>0</v>
      </c>
      <c r="PM456">
        <v>0</v>
      </c>
      <c r="PN456">
        <v>0</v>
      </c>
      <c r="PO456">
        <v>0</v>
      </c>
      <c r="PP456">
        <v>0</v>
      </c>
      <c r="PQ456">
        <v>0</v>
      </c>
      <c r="PR456">
        <v>0</v>
      </c>
      <c r="PS456">
        <v>0</v>
      </c>
      <c r="PT456">
        <v>0</v>
      </c>
      <c r="PU456">
        <v>0</v>
      </c>
      <c r="PV456">
        <v>0</v>
      </c>
      <c r="PW456">
        <v>0</v>
      </c>
      <c r="PX456">
        <v>0</v>
      </c>
      <c r="PY456">
        <v>0</v>
      </c>
      <c r="PZ456">
        <v>0</v>
      </c>
      <c r="QA456">
        <v>0</v>
      </c>
      <c r="QB456">
        <v>0</v>
      </c>
      <c r="QC456">
        <v>0</v>
      </c>
      <c r="QD456">
        <v>0</v>
      </c>
      <c r="QE456">
        <v>0</v>
      </c>
      <c r="QF456">
        <v>0</v>
      </c>
      <c r="QG456">
        <v>0</v>
      </c>
      <c r="QH456">
        <v>0</v>
      </c>
      <c r="QI456">
        <v>0</v>
      </c>
      <c r="QJ456">
        <v>0</v>
      </c>
      <c r="QK456">
        <v>0</v>
      </c>
      <c r="QL456">
        <v>0</v>
      </c>
      <c r="QM456">
        <v>0</v>
      </c>
      <c r="QN456">
        <v>0</v>
      </c>
      <c r="QO456">
        <v>0</v>
      </c>
      <c r="QP456">
        <v>0</v>
      </c>
      <c r="QQ456">
        <v>0</v>
      </c>
      <c r="QR456">
        <v>0</v>
      </c>
      <c r="QS456">
        <v>0</v>
      </c>
      <c r="QT456">
        <v>0</v>
      </c>
      <c r="QU456">
        <v>0</v>
      </c>
      <c r="QV456">
        <v>0</v>
      </c>
      <c r="QW456">
        <v>0</v>
      </c>
      <c r="QX456">
        <v>0</v>
      </c>
      <c r="QY456">
        <v>0</v>
      </c>
    </row>
    <row r="457" spans="1:467" hidden="1" x14ac:dyDescent="0.4">
      <c r="A457" t="str">
        <f>"9784562072224"</f>
        <v>9784562072224</v>
      </c>
      <c r="B457" t="str">
        <f>"4562072229"</f>
        <v>4562072229</v>
      </c>
      <c r="C457" t="s">
        <v>2737</v>
      </c>
      <c r="D457" t="s">
        <v>2738</v>
      </c>
      <c r="E457" t="s">
        <v>2226</v>
      </c>
      <c r="G457" t="str">
        <f>"0098"</f>
        <v>0098</v>
      </c>
      <c r="H457" t="s">
        <v>481</v>
      </c>
      <c r="I457" t="s">
        <v>1893</v>
      </c>
      <c r="J457" t="s">
        <v>1894</v>
      </c>
      <c r="L457" s="1">
        <v>44858</v>
      </c>
      <c r="M457">
        <v>3200</v>
      </c>
      <c r="N457">
        <v>7</v>
      </c>
      <c r="O457">
        <v>7</v>
      </c>
      <c r="P457">
        <v>7</v>
      </c>
      <c r="Q457">
        <v>7</v>
      </c>
      <c r="R457">
        <v>0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1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1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1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  <c r="NK457">
        <v>0</v>
      </c>
      <c r="NL457">
        <v>0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0</v>
      </c>
      <c r="OF457">
        <v>0</v>
      </c>
      <c r="OG457">
        <v>1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0</v>
      </c>
      <c r="PJ457">
        <v>0</v>
      </c>
      <c r="PK457">
        <v>0</v>
      </c>
      <c r="PL457">
        <v>0</v>
      </c>
      <c r="PM457">
        <v>0</v>
      </c>
      <c r="PN457">
        <v>0</v>
      </c>
      <c r="PO457">
        <v>0</v>
      </c>
      <c r="PP457">
        <v>0</v>
      </c>
      <c r="PQ457">
        <v>0</v>
      </c>
      <c r="PR457">
        <v>0</v>
      </c>
      <c r="PS457">
        <v>0</v>
      </c>
      <c r="PT457">
        <v>0</v>
      </c>
      <c r="PU457">
        <v>0</v>
      </c>
      <c r="PV457">
        <v>0</v>
      </c>
      <c r="PW457">
        <v>0</v>
      </c>
      <c r="PX457">
        <v>0</v>
      </c>
      <c r="PY457">
        <v>0</v>
      </c>
      <c r="PZ457">
        <v>0</v>
      </c>
      <c r="QA457">
        <v>0</v>
      </c>
      <c r="QB457">
        <v>0</v>
      </c>
      <c r="QC457">
        <v>0</v>
      </c>
      <c r="QD457">
        <v>0</v>
      </c>
      <c r="QE457">
        <v>0</v>
      </c>
      <c r="QF457">
        <v>0</v>
      </c>
      <c r="QG457">
        <v>0</v>
      </c>
      <c r="QH457">
        <v>1</v>
      </c>
      <c r="QI457">
        <v>0</v>
      </c>
      <c r="QJ457">
        <v>0</v>
      </c>
      <c r="QK457">
        <v>0</v>
      </c>
      <c r="QL457">
        <v>0</v>
      </c>
      <c r="QM457">
        <v>0</v>
      </c>
      <c r="QN457">
        <v>0</v>
      </c>
      <c r="QO457">
        <v>0</v>
      </c>
      <c r="QP457">
        <v>0</v>
      </c>
      <c r="QQ457">
        <v>0</v>
      </c>
      <c r="QR457">
        <v>0</v>
      </c>
      <c r="QS457">
        <v>0</v>
      </c>
      <c r="QT457">
        <v>0</v>
      </c>
      <c r="QU457">
        <v>0</v>
      </c>
      <c r="QV457">
        <v>0</v>
      </c>
      <c r="QW457">
        <v>0</v>
      </c>
      <c r="QX457">
        <v>0</v>
      </c>
      <c r="QY457">
        <v>0</v>
      </c>
    </row>
    <row r="458" spans="1:467" hidden="1" x14ac:dyDescent="0.4">
      <c r="A458" t="str">
        <f>"9784862382535"</f>
        <v>9784862382535</v>
      </c>
      <c r="B458" t="str">
        <f>"4862382533"</f>
        <v>4862382533</v>
      </c>
      <c r="C458" t="s">
        <v>2739</v>
      </c>
      <c r="D458" t="s">
        <v>2740</v>
      </c>
      <c r="E458" t="s">
        <v>2741</v>
      </c>
      <c r="G458" t="str">
        <f>"0095"</f>
        <v>0095</v>
      </c>
      <c r="H458" t="s">
        <v>481</v>
      </c>
      <c r="I458" t="s">
        <v>1893</v>
      </c>
      <c r="J458" t="s">
        <v>509</v>
      </c>
      <c r="L458" s="1">
        <v>44921</v>
      </c>
      <c r="M458">
        <v>1800</v>
      </c>
      <c r="N458">
        <v>7</v>
      </c>
      <c r="O458">
        <v>5</v>
      </c>
      <c r="P458">
        <v>7</v>
      </c>
      <c r="Q458">
        <v>5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1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1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2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2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1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  <c r="NK458">
        <v>0</v>
      </c>
      <c r="NL458">
        <v>0</v>
      </c>
      <c r="NM458">
        <v>0</v>
      </c>
      <c r="NN458">
        <v>0</v>
      </c>
      <c r="NO458">
        <v>0</v>
      </c>
      <c r="NP458">
        <v>0</v>
      </c>
      <c r="NQ458">
        <v>0</v>
      </c>
      <c r="NR458">
        <v>0</v>
      </c>
      <c r="NS458">
        <v>0</v>
      </c>
      <c r="NT458">
        <v>0</v>
      </c>
      <c r="NU458">
        <v>0</v>
      </c>
      <c r="NV458">
        <v>0</v>
      </c>
      <c r="NW458">
        <v>0</v>
      </c>
      <c r="NX458">
        <v>0</v>
      </c>
      <c r="NY458">
        <v>0</v>
      </c>
      <c r="NZ458">
        <v>0</v>
      </c>
      <c r="OA458">
        <v>0</v>
      </c>
      <c r="OB458">
        <v>0</v>
      </c>
      <c r="OC458">
        <v>0</v>
      </c>
      <c r="OD458">
        <v>0</v>
      </c>
      <c r="OE458">
        <v>0</v>
      </c>
      <c r="OF458">
        <v>0</v>
      </c>
      <c r="OG458">
        <v>0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  <c r="PB458">
        <v>0</v>
      </c>
      <c r="PC458">
        <v>0</v>
      </c>
      <c r="PD458">
        <v>0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0</v>
      </c>
      <c r="PN458">
        <v>0</v>
      </c>
      <c r="PO458">
        <v>0</v>
      </c>
      <c r="PP458">
        <v>0</v>
      </c>
      <c r="PQ458">
        <v>0</v>
      </c>
      <c r="PR458">
        <v>0</v>
      </c>
      <c r="PS458">
        <v>0</v>
      </c>
      <c r="PT458">
        <v>0</v>
      </c>
      <c r="PU458">
        <v>0</v>
      </c>
      <c r="PV458">
        <v>0</v>
      </c>
      <c r="PW458">
        <v>0</v>
      </c>
      <c r="PX458">
        <v>0</v>
      </c>
      <c r="PY458">
        <v>0</v>
      </c>
      <c r="PZ458">
        <v>0</v>
      </c>
      <c r="QA458">
        <v>0</v>
      </c>
      <c r="QB458">
        <v>0</v>
      </c>
      <c r="QC458">
        <v>0</v>
      </c>
      <c r="QD458">
        <v>0</v>
      </c>
      <c r="QE458">
        <v>0</v>
      </c>
      <c r="QF458">
        <v>0</v>
      </c>
      <c r="QG458">
        <v>0</v>
      </c>
      <c r="QH458">
        <v>0</v>
      </c>
      <c r="QI458">
        <v>0</v>
      </c>
      <c r="QJ458">
        <v>0</v>
      </c>
      <c r="QK458">
        <v>0</v>
      </c>
      <c r="QL458">
        <v>0</v>
      </c>
      <c r="QM458">
        <v>0</v>
      </c>
      <c r="QN458">
        <v>0</v>
      </c>
      <c r="QO458">
        <v>0</v>
      </c>
      <c r="QP458">
        <v>0</v>
      </c>
      <c r="QQ458">
        <v>0</v>
      </c>
      <c r="QR458">
        <v>0</v>
      </c>
      <c r="QS458">
        <v>0</v>
      </c>
      <c r="QT458">
        <v>0</v>
      </c>
      <c r="QU458">
        <v>0</v>
      </c>
      <c r="QV458">
        <v>0</v>
      </c>
      <c r="QW458">
        <v>0</v>
      </c>
      <c r="QX458">
        <v>0</v>
      </c>
      <c r="QY458">
        <v>0</v>
      </c>
    </row>
    <row r="459" spans="1:467" hidden="1" x14ac:dyDescent="0.4">
      <c r="A459" t="str">
        <f>"9784890727360"</f>
        <v>9784890727360</v>
      </c>
      <c r="B459" t="str">
        <f>"4890727361"</f>
        <v>4890727361</v>
      </c>
      <c r="C459" t="s">
        <v>2742</v>
      </c>
      <c r="E459" t="s">
        <v>2743</v>
      </c>
      <c r="F459" t="s">
        <v>2744</v>
      </c>
      <c r="G459" t="str">
        <f>"0476"</f>
        <v>0476</v>
      </c>
      <c r="H459" t="s">
        <v>481</v>
      </c>
      <c r="I459" t="s">
        <v>1884</v>
      </c>
      <c r="J459" t="s">
        <v>552</v>
      </c>
      <c r="L459" s="1">
        <v>44938</v>
      </c>
      <c r="M459">
        <v>1500</v>
      </c>
      <c r="N459">
        <v>7</v>
      </c>
      <c r="O459">
        <v>6</v>
      </c>
      <c r="P459">
        <v>7</v>
      </c>
      <c r="Q459">
        <v>6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1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1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2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1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1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1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0</v>
      </c>
      <c r="NK459">
        <v>0</v>
      </c>
      <c r="NL459">
        <v>0</v>
      </c>
      <c r="NM459">
        <v>0</v>
      </c>
      <c r="NN459">
        <v>0</v>
      </c>
      <c r="NO459">
        <v>0</v>
      </c>
      <c r="NP459">
        <v>0</v>
      </c>
      <c r="NQ459">
        <v>0</v>
      </c>
      <c r="NR459">
        <v>0</v>
      </c>
      <c r="NS459">
        <v>0</v>
      </c>
      <c r="NT459">
        <v>0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C459">
        <v>0</v>
      </c>
      <c r="OD459">
        <v>0</v>
      </c>
      <c r="OE459">
        <v>0</v>
      </c>
      <c r="OF459">
        <v>0</v>
      </c>
      <c r="OG459">
        <v>0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0</v>
      </c>
      <c r="PN459">
        <v>0</v>
      </c>
      <c r="PO459">
        <v>0</v>
      </c>
      <c r="PP459">
        <v>0</v>
      </c>
      <c r="PQ459">
        <v>0</v>
      </c>
      <c r="PR459">
        <v>0</v>
      </c>
      <c r="PS459">
        <v>0</v>
      </c>
      <c r="PT459">
        <v>0</v>
      </c>
      <c r="PU459">
        <v>0</v>
      </c>
      <c r="PV459">
        <v>0</v>
      </c>
      <c r="PW459">
        <v>0</v>
      </c>
      <c r="PX459">
        <v>0</v>
      </c>
      <c r="PY459">
        <v>0</v>
      </c>
      <c r="PZ459">
        <v>0</v>
      </c>
      <c r="QA459">
        <v>0</v>
      </c>
      <c r="QB459">
        <v>0</v>
      </c>
      <c r="QC459">
        <v>0</v>
      </c>
      <c r="QD459">
        <v>0</v>
      </c>
      <c r="QE459">
        <v>0</v>
      </c>
      <c r="QF459">
        <v>0</v>
      </c>
      <c r="QG459">
        <v>0</v>
      </c>
      <c r="QH459">
        <v>0</v>
      </c>
      <c r="QI459">
        <v>0</v>
      </c>
      <c r="QJ459">
        <v>0</v>
      </c>
      <c r="QK459">
        <v>0</v>
      </c>
      <c r="QL459">
        <v>0</v>
      </c>
      <c r="QM459">
        <v>0</v>
      </c>
      <c r="QN459">
        <v>0</v>
      </c>
      <c r="QO459">
        <v>0</v>
      </c>
      <c r="QP459">
        <v>0</v>
      </c>
      <c r="QQ459">
        <v>0</v>
      </c>
      <c r="QR459">
        <v>0</v>
      </c>
      <c r="QS459">
        <v>0</v>
      </c>
      <c r="QT459">
        <v>0</v>
      </c>
      <c r="QU459">
        <v>0</v>
      </c>
      <c r="QV459">
        <v>0</v>
      </c>
      <c r="QW459">
        <v>0</v>
      </c>
      <c r="QX459">
        <v>0</v>
      </c>
      <c r="QY459">
        <v>0</v>
      </c>
    </row>
    <row r="460" spans="1:467" hidden="1" x14ac:dyDescent="0.4">
      <c r="A460" t="str">
        <f>"9784623092833"</f>
        <v>9784623092833</v>
      </c>
      <c r="B460" t="str">
        <f>"4623092836"</f>
        <v>4623092836</v>
      </c>
      <c r="C460" t="s">
        <v>2745</v>
      </c>
      <c r="D460" t="s">
        <v>2746</v>
      </c>
      <c r="E460" t="s">
        <v>2747</v>
      </c>
      <c r="F460" t="s">
        <v>2748</v>
      </c>
      <c r="G460" t="str">
        <f>"3397"</f>
        <v>3397</v>
      </c>
      <c r="H460" t="s">
        <v>761</v>
      </c>
      <c r="I460" t="s">
        <v>1877</v>
      </c>
      <c r="J460" t="s">
        <v>564</v>
      </c>
      <c r="L460" s="1">
        <v>44606</v>
      </c>
      <c r="M460">
        <v>2800</v>
      </c>
      <c r="N460">
        <v>7</v>
      </c>
      <c r="O460">
        <v>6</v>
      </c>
      <c r="P460">
        <v>7</v>
      </c>
      <c r="Q460">
        <v>6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1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1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2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1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1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0</v>
      </c>
      <c r="NF460">
        <v>0</v>
      </c>
      <c r="NG460">
        <v>0</v>
      </c>
      <c r="NH460">
        <v>0</v>
      </c>
      <c r="NI460">
        <v>0</v>
      </c>
      <c r="NJ460">
        <v>0</v>
      </c>
      <c r="NK460">
        <v>0</v>
      </c>
      <c r="NL460">
        <v>0</v>
      </c>
      <c r="NM460">
        <v>0</v>
      </c>
      <c r="NN460">
        <v>0</v>
      </c>
      <c r="NO460">
        <v>0</v>
      </c>
      <c r="NP460">
        <v>0</v>
      </c>
      <c r="NQ460">
        <v>0</v>
      </c>
      <c r="NR460">
        <v>0</v>
      </c>
      <c r="NS460">
        <v>0</v>
      </c>
      <c r="NT460">
        <v>0</v>
      </c>
      <c r="NU460">
        <v>0</v>
      </c>
      <c r="NV460">
        <v>0</v>
      </c>
      <c r="NW460">
        <v>0</v>
      </c>
      <c r="NX460">
        <v>0</v>
      </c>
      <c r="NY460">
        <v>1</v>
      </c>
      <c r="NZ460">
        <v>0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0</v>
      </c>
      <c r="OG460">
        <v>0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0</v>
      </c>
      <c r="OW460">
        <v>0</v>
      </c>
      <c r="OX460">
        <v>0</v>
      </c>
      <c r="OY460">
        <v>0</v>
      </c>
      <c r="OZ460">
        <v>0</v>
      </c>
      <c r="PA460">
        <v>0</v>
      </c>
      <c r="PB460">
        <v>0</v>
      </c>
      <c r="PC460">
        <v>0</v>
      </c>
      <c r="PD460">
        <v>0</v>
      </c>
      <c r="PE460">
        <v>0</v>
      </c>
      <c r="PF460">
        <v>0</v>
      </c>
      <c r="PG460">
        <v>0</v>
      </c>
      <c r="PH460">
        <v>0</v>
      </c>
      <c r="PI460">
        <v>0</v>
      </c>
      <c r="PJ460">
        <v>0</v>
      </c>
      <c r="PK460">
        <v>0</v>
      </c>
      <c r="PL460">
        <v>0</v>
      </c>
      <c r="PM460">
        <v>0</v>
      </c>
      <c r="PN460">
        <v>0</v>
      </c>
      <c r="PO460">
        <v>0</v>
      </c>
      <c r="PP460">
        <v>0</v>
      </c>
      <c r="PQ460">
        <v>0</v>
      </c>
      <c r="PR460">
        <v>0</v>
      </c>
      <c r="PS460">
        <v>0</v>
      </c>
      <c r="PT460">
        <v>0</v>
      </c>
      <c r="PU460">
        <v>0</v>
      </c>
      <c r="PV460">
        <v>0</v>
      </c>
      <c r="PW460">
        <v>0</v>
      </c>
      <c r="PX460">
        <v>0</v>
      </c>
      <c r="PY460">
        <v>0</v>
      </c>
      <c r="PZ460">
        <v>0</v>
      </c>
      <c r="QA460">
        <v>0</v>
      </c>
      <c r="QB460">
        <v>0</v>
      </c>
      <c r="QC460">
        <v>0</v>
      </c>
      <c r="QD460">
        <v>0</v>
      </c>
      <c r="QE460">
        <v>0</v>
      </c>
      <c r="QF460">
        <v>0</v>
      </c>
      <c r="QG460">
        <v>0</v>
      </c>
      <c r="QH460">
        <v>0</v>
      </c>
      <c r="QI460">
        <v>0</v>
      </c>
      <c r="QJ460">
        <v>0</v>
      </c>
      <c r="QK460">
        <v>0</v>
      </c>
      <c r="QL460">
        <v>0</v>
      </c>
      <c r="QM460">
        <v>0</v>
      </c>
      <c r="QN460">
        <v>0</v>
      </c>
      <c r="QO460">
        <v>0</v>
      </c>
      <c r="QP460">
        <v>0</v>
      </c>
      <c r="QQ460">
        <v>0</v>
      </c>
      <c r="QR460">
        <v>0</v>
      </c>
      <c r="QS460">
        <v>0</v>
      </c>
      <c r="QT460">
        <v>0</v>
      </c>
      <c r="QU460">
        <v>0</v>
      </c>
      <c r="QV460">
        <v>0</v>
      </c>
      <c r="QW460">
        <v>0</v>
      </c>
      <c r="QX460">
        <v>0</v>
      </c>
      <c r="QY460">
        <v>0</v>
      </c>
    </row>
    <row r="461" spans="1:467" hidden="1" x14ac:dyDescent="0.4">
      <c r="A461" t="str">
        <f>"9784623094004"</f>
        <v>9784623094004</v>
      </c>
      <c r="B461" t="str">
        <f>"4623094006"</f>
        <v>4623094006</v>
      </c>
      <c r="C461" t="s">
        <v>2749</v>
      </c>
      <c r="D461" t="s">
        <v>2750</v>
      </c>
      <c r="E461" t="s">
        <v>2747</v>
      </c>
      <c r="F461" t="s">
        <v>2748</v>
      </c>
      <c r="G461" t="str">
        <f>"3397"</f>
        <v>3397</v>
      </c>
      <c r="H461" t="s">
        <v>761</v>
      </c>
      <c r="I461" t="s">
        <v>1877</v>
      </c>
      <c r="J461" t="s">
        <v>564</v>
      </c>
      <c r="L461" s="1">
        <v>44699</v>
      </c>
      <c r="M461">
        <v>2800</v>
      </c>
      <c r="N461">
        <v>7</v>
      </c>
      <c r="O461">
        <v>4</v>
      </c>
      <c r="P461">
        <v>7</v>
      </c>
      <c r="Q461">
        <v>4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1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1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4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1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0</v>
      </c>
      <c r="NL461">
        <v>0</v>
      </c>
      <c r="NM461">
        <v>0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0</v>
      </c>
      <c r="NV461">
        <v>0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C461">
        <v>0</v>
      </c>
      <c r="OD461">
        <v>0</v>
      </c>
      <c r="OE461">
        <v>0</v>
      </c>
      <c r="OF461">
        <v>0</v>
      </c>
      <c r="OG461">
        <v>0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0</v>
      </c>
      <c r="PN461">
        <v>0</v>
      </c>
      <c r="PO461">
        <v>0</v>
      </c>
      <c r="PP461">
        <v>0</v>
      </c>
      <c r="PQ461">
        <v>0</v>
      </c>
      <c r="PR461">
        <v>0</v>
      </c>
      <c r="PS461">
        <v>0</v>
      </c>
      <c r="PT461">
        <v>0</v>
      </c>
      <c r="PU461">
        <v>0</v>
      </c>
      <c r="PV461">
        <v>0</v>
      </c>
      <c r="PW461">
        <v>0</v>
      </c>
      <c r="PX461">
        <v>0</v>
      </c>
      <c r="PY461">
        <v>0</v>
      </c>
      <c r="PZ461">
        <v>0</v>
      </c>
      <c r="QA461">
        <v>0</v>
      </c>
      <c r="QB461">
        <v>0</v>
      </c>
      <c r="QC461">
        <v>0</v>
      </c>
      <c r="QD461">
        <v>0</v>
      </c>
      <c r="QE461">
        <v>0</v>
      </c>
      <c r="QF461">
        <v>0</v>
      </c>
      <c r="QG461">
        <v>0</v>
      </c>
      <c r="QH461">
        <v>0</v>
      </c>
      <c r="QI461">
        <v>0</v>
      </c>
      <c r="QJ461">
        <v>0</v>
      </c>
      <c r="QK461">
        <v>0</v>
      </c>
      <c r="QL461">
        <v>0</v>
      </c>
      <c r="QM461">
        <v>0</v>
      </c>
      <c r="QN461">
        <v>0</v>
      </c>
      <c r="QO461">
        <v>0</v>
      </c>
      <c r="QP461">
        <v>0</v>
      </c>
      <c r="QQ461">
        <v>0</v>
      </c>
      <c r="QR461">
        <v>0</v>
      </c>
      <c r="QS461">
        <v>0</v>
      </c>
      <c r="QT461">
        <v>0</v>
      </c>
      <c r="QU461">
        <v>0</v>
      </c>
      <c r="QV461">
        <v>0</v>
      </c>
      <c r="QW461">
        <v>0</v>
      </c>
      <c r="QX461">
        <v>0</v>
      </c>
      <c r="QY461">
        <v>0</v>
      </c>
    </row>
    <row r="462" spans="1:467" hidden="1" x14ac:dyDescent="0.4">
      <c r="A462" t="str">
        <f>"9784794973214"</f>
        <v>9784794973214</v>
      </c>
      <c r="B462" t="str">
        <f>"4794973217"</f>
        <v>4794973217</v>
      </c>
      <c r="C462" t="s">
        <v>2751</v>
      </c>
      <c r="D462" t="s">
        <v>2752</v>
      </c>
      <c r="E462" t="s">
        <v>2040</v>
      </c>
      <c r="G462" t="str">
        <f>"0095"</f>
        <v>0095</v>
      </c>
      <c r="H462" t="s">
        <v>481</v>
      </c>
      <c r="I462" t="s">
        <v>1893</v>
      </c>
      <c r="J462" t="s">
        <v>509</v>
      </c>
      <c r="L462" s="1">
        <v>44817</v>
      </c>
      <c r="M462">
        <v>2200</v>
      </c>
      <c r="N462">
        <v>7</v>
      </c>
      <c r="O462">
        <v>6</v>
      </c>
      <c r="P462">
        <v>7</v>
      </c>
      <c r="Q462">
        <v>6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1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1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1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1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2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  <c r="NK462">
        <v>0</v>
      </c>
      <c r="NL462">
        <v>0</v>
      </c>
      <c r="NM462">
        <v>0</v>
      </c>
      <c r="NN462">
        <v>0</v>
      </c>
      <c r="NO462">
        <v>0</v>
      </c>
      <c r="NP462">
        <v>0</v>
      </c>
      <c r="NQ462">
        <v>0</v>
      </c>
      <c r="NR462">
        <v>0</v>
      </c>
      <c r="NS462">
        <v>0</v>
      </c>
      <c r="NT462">
        <v>0</v>
      </c>
      <c r="NU462">
        <v>0</v>
      </c>
      <c r="NV462">
        <v>0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0</v>
      </c>
      <c r="OJ462">
        <v>0</v>
      </c>
      <c r="OK462">
        <v>0</v>
      </c>
      <c r="OL462">
        <v>0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0</v>
      </c>
      <c r="PB462">
        <v>0</v>
      </c>
      <c r="PC462">
        <v>0</v>
      </c>
      <c r="PD462">
        <v>0</v>
      </c>
      <c r="PE462">
        <v>0</v>
      </c>
      <c r="PF462">
        <v>0</v>
      </c>
      <c r="PG462">
        <v>0</v>
      </c>
      <c r="PH462">
        <v>0</v>
      </c>
      <c r="PI462">
        <v>0</v>
      </c>
      <c r="PJ462">
        <v>0</v>
      </c>
      <c r="PK462">
        <v>0</v>
      </c>
      <c r="PL462">
        <v>0</v>
      </c>
      <c r="PM462">
        <v>0</v>
      </c>
      <c r="PN462">
        <v>0</v>
      </c>
      <c r="PO462">
        <v>0</v>
      </c>
      <c r="PP462">
        <v>0</v>
      </c>
      <c r="PQ462">
        <v>0</v>
      </c>
      <c r="PR462">
        <v>0</v>
      </c>
      <c r="PS462">
        <v>0</v>
      </c>
      <c r="PT462">
        <v>0</v>
      </c>
      <c r="PU462">
        <v>0</v>
      </c>
      <c r="PV462">
        <v>0</v>
      </c>
      <c r="PW462">
        <v>0</v>
      </c>
      <c r="PX462">
        <v>0</v>
      </c>
      <c r="PY462">
        <v>0</v>
      </c>
      <c r="PZ462">
        <v>0</v>
      </c>
      <c r="QA462">
        <v>0</v>
      </c>
      <c r="QB462">
        <v>0</v>
      </c>
      <c r="QC462">
        <v>0</v>
      </c>
      <c r="QD462">
        <v>0</v>
      </c>
      <c r="QE462">
        <v>0</v>
      </c>
      <c r="QF462">
        <v>0</v>
      </c>
      <c r="QG462">
        <v>0</v>
      </c>
      <c r="QH462">
        <v>0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</v>
      </c>
      <c r="QO462">
        <v>0</v>
      </c>
      <c r="QP462">
        <v>0</v>
      </c>
      <c r="QQ462">
        <v>0</v>
      </c>
      <c r="QR462">
        <v>0</v>
      </c>
      <c r="QS462">
        <v>0</v>
      </c>
      <c r="QT462">
        <v>1</v>
      </c>
      <c r="QU462">
        <v>0</v>
      </c>
      <c r="QV462">
        <v>0</v>
      </c>
      <c r="QW462">
        <v>0</v>
      </c>
      <c r="QX462">
        <v>0</v>
      </c>
      <c r="QY462">
        <v>0</v>
      </c>
    </row>
    <row r="463" spans="1:467" hidden="1" x14ac:dyDescent="0.4">
      <c r="A463" t="str">
        <f>"9784305709769"</f>
        <v>9784305709769</v>
      </c>
      <c r="B463" t="str">
        <f>"4305709767"</f>
        <v>4305709767</v>
      </c>
      <c r="C463" t="s">
        <v>2753</v>
      </c>
      <c r="D463" t="s">
        <v>2754</v>
      </c>
      <c r="E463" t="s">
        <v>2331</v>
      </c>
      <c r="G463" t="str">
        <f>"0095"</f>
        <v>0095</v>
      </c>
      <c r="H463" t="s">
        <v>481</v>
      </c>
      <c r="I463" t="s">
        <v>1893</v>
      </c>
      <c r="J463" t="s">
        <v>509</v>
      </c>
      <c r="L463" s="1">
        <v>44932</v>
      </c>
      <c r="M463">
        <v>1800</v>
      </c>
      <c r="N463">
        <v>7</v>
      </c>
      <c r="O463">
        <v>7</v>
      </c>
      <c r="P463">
        <v>7</v>
      </c>
      <c r="Q463">
        <v>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1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1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1</v>
      </c>
      <c r="JN463">
        <v>0</v>
      </c>
      <c r="JO463">
        <v>0</v>
      </c>
      <c r="JP463">
        <v>0</v>
      </c>
      <c r="JQ463">
        <v>1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  <c r="NK463">
        <v>0</v>
      </c>
      <c r="NL463">
        <v>0</v>
      </c>
      <c r="NM463">
        <v>0</v>
      </c>
      <c r="NN463">
        <v>0</v>
      </c>
      <c r="NO463">
        <v>0</v>
      </c>
      <c r="NP463">
        <v>0</v>
      </c>
      <c r="NQ463">
        <v>0</v>
      </c>
      <c r="NR463">
        <v>0</v>
      </c>
      <c r="NS463">
        <v>0</v>
      </c>
      <c r="NT463">
        <v>0</v>
      </c>
      <c r="NU463">
        <v>0</v>
      </c>
      <c r="NV463">
        <v>0</v>
      </c>
      <c r="NW463">
        <v>0</v>
      </c>
      <c r="NX463">
        <v>0</v>
      </c>
      <c r="NY463">
        <v>1</v>
      </c>
      <c r="NZ463">
        <v>0</v>
      </c>
      <c r="OA463">
        <v>0</v>
      </c>
      <c r="OB463">
        <v>0</v>
      </c>
      <c r="OC463">
        <v>0</v>
      </c>
      <c r="OD463">
        <v>0</v>
      </c>
      <c r="OE463">
        <v>0</v>
      </c>
      <c r="OF463">
        <v>0</v>
      </c>
      <c r="OG463">
        <v>0</v>
      </c>
      <c r="OH463">
        <v>0</v>
      </c>
      <c r="OI463">
        <v>0</v>
      </c>
      <c r="OJ463">
        <v>0</v>
      </c>
      <c r="OK463">
        <v>0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0</v>
      </c>
      <c r="OX463">
        <v>0</v>
      </c>
      <c r="OY463">
        <v>0</v>
      </c>
      <c r="OZ463">
        <v>0</v>
      </c>
      <c r="PA463">
        <v>0</v>
      </c>
      <c r="PB463">
        <v>0</v>
      </c>
      <c r="PC463">
        <v>0</v>
      </c>
      <c r="PD463">
        <v>0</v>
      </c>
      <c r="PE463">
        <v>0</v>
      </c>
      <c r="PF463">
        <v>0</v>
      </c>
      <c r="PG463">
        <v>0</v>
      </c>
      <c r="PH463">
        <v>0</v>
      </c>
      <c r="PI463">
        <v>0</v>
      </c>
      <c r="PJ463">
        <v>0</v>
      </c>
      <c r="PK463">
        <v>0</v>
      </c>
      <c r="PL463">
        <v>0</v>
      </c>
      <c r="PM463">
        <v>0</v>
      </c>
      <c r="PN463">
        <v>0</v>
      </c>
      <c r="PO463">
        <v>0</v>
      </c>
      <c r="PP463">
        <v>0</v>
      </c>
      <c r="PQ463">
        <v>0</v>
      </c>
      <c r="PR463">
        <v>0</v>
      </c>
      <c r="PS463">
        <v>0</v>
      </c>
      <c r="PT463">
        <v>0</v>
      </c>
      <c r="PU463">
        <v>0</v>
      </c>
      <c r="PV463">
        <v>0</v>
      </c>
      <c r="PW463">
        <v>0</v>
      </c>
      <c r="PX463">
        <v>0</v>
      </c>
      <c r="PY463">
        <v>0</v>
      </c>
      <c r="PZ463">
        <v>0</v>
      </c>
      <c r="QA463">
        <v>0</v>
      </c>
      <c r="QB463">
        <v>0</v>
      </c>
      <c r="QC463">
        <v>0</v>
      </c>
      <c r="QD463">
        <v>0</v>
      </c>
      <c r="QE463">
        <v>0</v>
      </c>
      <c r="QF463">
        <v>0</v>
      </c>
      <c r="QG463">
        <v>0</v>
      </c>
      <c r="QH463">
        <v>0</v>
      </c>
      <c r="QI463">
        <v>0</v>
      </c>
      <c r="QJ463">
        <v>0</v>
      </c>
      <c r="QK463">
        <v>0</v>
      </c>
      <c r="QL463">
        <v>0</v>
      </c>
      <c r="QM463">
        <v>0</v>
      </c>
      <c r="QN463">
        <v>0</v>
      </c>
      <c r="QO463">
        <v>0</v>
      </c>
      <c r="QP463">
        <v>0</v>
      </c>
      <c r="QQ463">
        <v>0</v>
      </c>
      <c r="QR463">
        <v>0</v>
      </c>
      <c r="QS463">
        <v>0</v>
      </c>
      <c r="QT463">
        <v>0</v>
      </c>
      <c r="QU463">
        <v>0</v>
      </c>
      <c r="QV463">
        <v>0</v>
      </c>
      <c r="QW463">
        <v>0</v>
      </c>
      <c r="QX463">
        <v>0</v>
      </c>
      <c r="QY463">
        <v>0</v>
      </c>
    </row>
    <row r="464" spans="1:467" hidden="1" x14ac:dyDescent="0.4">
      <c r="A464" t="str">
        <f>"9784562071968"</f>
        <v>9784562071968</v>
      </c>
      <c r="B464" t="str">
        <f>"4562071966"</f>
        <v>4562071966</v>
      </c>
      <c r="C464" t="s">
        <v>2755</v>
      </c>
      <c r="D464" t="s">
        <v>2756</v>
      </c>
      <c r="E464" t="s">
        <v>2226</v>
      </c>
      <c r="G464" t="str">
        <f>"0098"</f>
        <v>0098</v>
      </c>
      <c r="H464" t="s">
        <v>481</v>
      </c>
      <c r="I464" t="s">
        <v>1893</v>
      </c>
      <c r="J464" t="s">
        <v>1894</v>
      </c>
      <c r="L464" s="1">
        <v>44809</v>
      </c>
      <c r="M464">
        <v>2800</v>
      </c>
      <c r="N464">
        <v>7</v>
      </c>
      <c r="O464">
        <v>6</v>
      </c>
      <c r="P464">
        <v>7</v>
      </c>
      <c r="Q464">
        <v>6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1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1</v>
      </c>
      <c r="CR464">
        <v>0</v>
      </c>
      <c r="CS464">
        <v>1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1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2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1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  <c r="NG464">
        <v>0</v>
      </c>
      <c r="NH464">
        <v>0</v>
      </c>
      <c r="NI464">
        <v>0</v>
      </c>
      <c r="NJ464">
        <v>0</v>
      </c>
      <c r="NK464">
        <v>0</v>
      </c>
      <c r="NL464">
        <v>0</v>
      </c>
      <c r="NM464">
        <v>0</v>
      </c>
      <c r="NN464">
        <v>0</v>
      </c>
      <c r="NO464">
        <v>0</v>
      </c>
      <c r="NP464">
        <v>0</v>
      </c>
      <c r="NQ464">
        <v>0</v>
      </c>
      <c r="NR464">
        <v>0</v>
      </c>
      <c r="NS464">
        <v>0</v>
      </c>
      <c r="NT464">
        <v>0</v>
      </c>
      <c r="NU464">
        <v>0</v>
      </c>
      <c r="NV464">
        <v>0</v>
      </c>
      <c r="NW464">
        <v>0</v>
      </c>
      <c r="NX464">
        <v>0</v>
      </c>
      <c r="NY464">
        <v>0</v>
      </c>
      <c r="NZ464">
        <v>0</v>
      </c>
      <c r="OA464">
        <v>0</v>
      </c>
      <c r="OB464">
        <v>0</v>
      </c>
      <c r="OC464">
        <v>0</v>
      </c>
      <c r="OD464">
        <v>0</v>
      </c>
      <c r="OE464">
        <v>0</v>
      </c>
      <c r="OF464">
        <v>0</v>
      </c>
      <c r="OG464">
        <v>0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0</v>
      </c>
      <c r="PA464">
        <v>0</v>
      </c>
      <c r="PB464">
        <v>0</v>
      </c>
      <c r="PC464">
        <v>0</v>
      </c>
      <c r="PD464">
        <v>0</v>
      </c>
      <c r="PE464">
        <v>0</v>
      </c>
      <c r="PF464">
        <v>0</v>
      </c>
      <c r="PG464">
        <v>0</v>
      </c>
      <c r="PH464">
        <v>0</v>
      </c>
      <c r="PI464">
        <v>0</v>
      </c>
      <c r="PJ464">
        <v>0</v>
      </c>
      <c r="PK464">
        <v>0</v>
      </c>
      <c r="PL464">
        <v>0</v>
      </c>
      <c r="PM464">
        <v>0</v>
      </c>
      <c r="PN464">
        <v>0</v>
      </c>
      <c r="PO464">
        <v>0</v>
      </c>
      <c r="PP464">
        <v>0</v>
      </c>
      <c r="PQ464">
        <v>0</v>
      </c>
      <c r="PR464">
        <v>0</v>
      </c>
      <c r="PS464">
        <v>0</v>
      </c>
      <c r="PT464">
        <v>0</v>
      </c>
      <c r="PU464">
        <v>0</v>
      </c>
      <c r="PV464">
        <v>0</v>
      </c>
      <c r="PW464">
        <v>0</v>
      </c>
      <c r="PX464">
        <v>0</v>
      </c>
      <c r="PY464">
        <v>0</v>
      </c>
      <c r="PZ464">
        <v>0</v>
      </c>
      <c r="QA464">
        <v>0</v>
      </c>
      <c r="QB464">
        <v>0</v>
      </c>
      <c r="QC464">
        <v>0</v>
      </c>
      <c r="QD464">
        <v>0</v>
      </c>
      <c r="QE464">
        <v>0</v>
      </c>
      <c r="QF464">
        <v>0</v>
      </c>
      <c r="QG464">
        <v>0</v>
      </c>
      <c r="QH464">
        <v>0</v>
      </c>
      <c r="QI464">
        <v>0</v>
      </c>
      <c r="QJ464">
        <v>0</v>
      </c>
      <c r="QK464">
        <v>0</v>
      </c>
      <c r="QL464">
        <v>0</v>
      </c>
      <c r="QM464">
        <v>0</v>
      </c>
      <c r="QN464">
        <v>0</v>
      </c>
      <c r="QO464">
        <v>0</v>
      </c>
      <c r="QP464">
        <v>0</v>
      </c>
      <c r="QQ464">
        <v>0</v>
      </c>
      <c r="QR464">
        <v>0</v>
      </c>
      <c r="QS464">
        <v>0</v>
      </c>
      <c r="QT464">
        <v>0</v>
      </c>
      <c r="QU464">
        <v>0</v>
      </c>
      <c r="QV464">
        <v>0</v>
      </c>
      <c r="QW464">
        <v>0</v>
      </c>
      <c r="QX464">
        <v>0</v>
      </c>
      <c r="QY464">
        <v>0</v>
      </c>
    </row>
    <row r="465" spans="1:467" x14ac:dyDescent="0.4">
      <c r="A465" t="str">
        <f>"9784065303436"</f>
        <v>9784065303436</v>
      </c>
      <c r="B465" t="str">
        <f>"4065303435"</f>
        <v>4065303435</v>
      </c>
      <c r="C465" t="s">
        <v>2757</v>
      </c>
      <c r="D465" t="s">
        <v>2758</v>
      </c>
      <c r="E465" t="s">
        <v>548</v>
      </c>
      <c r="F465" t="s">
        <v>1862</v>
      </c>
      <c r="G465" t="str">
        <f>"9979"</f>
        <v>9979</v>
      </c>
      <c r="H465" t="s">
        <v>1855</v>
      </c>
      <c r="I465" t="s">
        <v>1856</v>
      </c>
      <c r="J465" t="s">
        <v>1856</v>
      </c>
      <c r="L465" s="1">
        <v>44932</v>
      </c>
      <c r="M465">
        <v>480</v>
      </c>
      <c r="N465">
        <v>7</v>
      </c>
      <c r="O465">
        <v>5</v>
      </c>
      <c r="P465">
        <v>7</v>
      </c>
      <c r="Q465">
        <v>5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2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1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2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0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</v>
      </c>
      <c r="NJ465">
        <v>0</v>
      </c>
      <c r="NK465">
        <v>0</v>
      </c>
      <c r="NL465">
        <v>0</v>
      </c>
      <c r="NM465">
        <v>0</v>
      </c>
      <c r="NN465">
        <v>0</v>
      </c>
      <c r="NO465">
        <v>0</v>
      </c>
      <c r="NP465">
        <v>0</v>
      </c>
      <c r="NQ465">
        <v>0</v>
      </c>
      <c r="NR465">
        <v>0</v>
      </c>
      <c r="NS465">
        <v>0</v>
      </c>
      <c r="NT465">
        <v>0</v>
      </c>
      <c r="NU465">
        <v>0</v>
      </c>
      <c r="NV465">
        <v>0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C465">
        <v>0</v>
      </c>
      <c r="OD465">
        <v>0</v>
      </c>
      <c r="OE465">
        <v>0</v>
      </c>
      <c r="OF465">
        <v>0</v>
      </c>
      <c r="OG465">
        <v>0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0</v>
      </c>
      <c r="OZ465">
        <v>0</v>
      </c>
      <c r="PA465">
        <v>0</v>
      </c>
      <c r="PB465">
        <v>0</v>
      </c>
      <c r="PC465">
        <v>0</v>
      </c>
      <c r="PD465">
        <v>0</v>
      </c>
      <c r="PE465">
        <v>0</v>
      </c>
      <c r="PF465">
        <v>0</v>
      </c>
      <c r="PG465">
        <v>0</v>
      </c>
      <c r="PH465">
        <v>0</v>
      </c>
      <c r="PI465">
        <v>0</v>
      </c>
      <c r="PJ465">
        <v>0</v>
      </c>
      <c r="PK465">
        <v>0</v>
      </c>
      <c r="PL465">
        <v>0</v>
      </c>
      <c r="PM465">
        <v>0</v>
      </c>
      <c r="PN465">
        <v>0</v>
      </c>
      <c r="PO465">
        <v>0</v>
      </c>
      <c r="PP465">
        <v>0</v>
      </c>
      <c r="PQ465">
        <v>0</v>
      </c>
      <c r="PR465">
        <v>0</v>
      </c>
      <c r="PS465">
        <v>0</v>
      </c>
      <c r="PT465">
        <v>0</v>
      </c>
      <c r="PU465">
        <v>0</v>
      </c>
      <c r="PV465">
        <v>0</v>
      </c>
      <c r="PW465">
        <v>0</v>
      </c>
      <c r="PX465">
        <v>0</v>
      </c>
      <c r="PY465">
        <v>0</v>
      </c>
      <c r="PZ465">
        <v>0</v>
      </c>
      <c r="QA465">
        <v>1</v>
      </c>
      <c r="QB465">
        <v>0</v>
      </c>
      <c r="QC465">
        <v>0</v>
      </c>
      <c r="QD465">
        <v>0</v>
      </c>
      <c r="QE465">
        <v>0</v>
      </c>
      <c r="QF465">
        <v>0</v>
      </c>
      <c r="QG465">
        <v>0</v>
      </c>
      <c r="QH465">
        <v>0</v>
      </c>
      <c r="QI465">
        <v>0</v>
      </c>
      <c r="QJ465">
        <v>0</v>
      </c>
      <c r="QK465">
        <v>0</v>
      </c>
      <c r="QL465">
        <v>0</v>
      </c>
      <c r="QM465">
        <v>0</v>
      </c>
      <c r="QN465">
        <v>0</v>
      </c>
      <c r="QO465">
        <v>0</v>
      </c>
      <c r="QP465">
        <v>0</v>
      </c>
      <c r="QQ465">
        <v>0</v>
      </c>
      <c r="QR465">
        <v>0</v>
      </c>
      <c r="QS465">
        <v>0</v>
      </c>
      <c r="QT465">
        <v>0</v>
      </c>
      <c r="QU465">
        <v>0</v>
      </c>
      <c r="QV465">
        <v>0</v>
      </c>
      <c r="QW465">
        <v>0</v>
      </c>
      <c r="QX465">
        <v>0</v>
      </c>
      <c r="QY465">
        <v>0</v>
      </c>
    </row>
    <row r="466" spans="1:467" hidden="1" x14ac:dyDescent="0.4">
      <c r="A466" t="str">
        <f>"9784801006812"</f>
        <v>9784801006812</v>
      </c>
      <c r="B466" t="str">
        <f>"4801006817"</f>
        <v>4801006817</v>
      </c>
      <c r="C466" t="s">
        <v>2759</v>
      </c>
      <c r="D466" t="s">
        <v>2760</v>
      </c>
      <c r="E466" t="s">
        <v>2340</v>
      </c>
      <c r="F466" t="s">
        <v>2761</v>
      </c>
      <c r="G466" t="str">
        <f>"0097"</f>
        <v>0097</v>
      </c>
      <c r="H466" t="s">
        <v>481</v>
      </c>
      <c r="I466" t="s">
        <v>1893</v>
      </c>
      <c r="J466" t="s">
        <v>564</v>
      </c>
      <c r="L466" s="1">
        <v>44922</v>
      </c>
      <c r="M466">
        <v>3000</v>
      </c>
      <c r="N466">
        <v>7</v>
      </c>
      <c r="O466">
        <v>6</v>
      </c>
      <c r="P466">
        <v>7</v>
      </c>
      <c r="Q466">
        <v>6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1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1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1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1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2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0</v>
      </c>
      <c r="NK466">
        <v>0</v>
      </c>
      <c r="NL466">
        <v>0</v>
      </c>
      <c r="NM466">
        <v>0</v>
      </c>
      <c r="NN466">
        <v>0</v>
      </c>
      <c r="NO466">
        <v>0</v>
      </c>
      <c r="NP466">
        <v>0</v>
      </c>
      <c r="NQ466">
        <v>0</v>
      </c>
      <c r="NR466">
        <v>0</v>
      </c>
      <c r="NS466">
        <v>0</v>
      </c>
      <c r="NT466">
        <v>0</v>
      </c>
      <c r="NU466">
        <v>0</v>
      </c>
      <c r="NV466">
        <v>0</v>
      </c>
      <c r="NW466">
        <v>0</v>
      </c>
      <c r="NX466">
        <v>0</v>
      </c>
      <c r="NY466">
        <v>0</v>
      </c>
      <c r="NZ466">
        <v>0</v>
      </c>
      <c r="OA466">
        <v>0</v>
      </c>
      <c r="OB466">
        <v>0</v>
      </c>
      <c r="OC466">
        <v>0</v>
      </c>
      <c r="OD466">
        <v>0</v>
      </c>
      <c r="OE466">
        <v>0</v>
      </c>
      <c r="OF466">
        <v>0</v>
      </c>
      <c r="OG466">
        <v>0</v>
      </c>
      <c r="OH466">
        <v>0</v>
      </c>
      <c r="OI466">
        <v>0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0</v>
      </c>
      <c r="OQ466">
        <v>0</v>
      </c>
      <c r="OR466">
        <v>0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0</v>
      </c>
      <c r="PB466">
        <v>0</v>
      </c>
      <c r="PC466">
        <v>0</v>
      </c>
      <c r="PD466">
        <v>0</v>
      </c>
      <c r="PE466">
        <v>0</v>
      </c>
      <c r="PF466">
        <v>0</v>
      </c>
      <c r="PG466">
        <v>0</v>
      </c>
      <c r="PH466">
        <v>0</v>
      </c>
      <c r="PI466">
        <v>0</v>
      </c>
      <c r="PJ466">
        <v>0</v>
      </c>
      <c r="PK466">
        <v>0</v>
      </c>
      <c r="PL466">
        <v>0</v>
      </c>
      <c r="PM466">
        <v>0</v>
      </c>
      <c r="PN466">
        <v>0</v>
      </c>
      <c r="PO466">
        <v>0</v>
      </c>
      <c r="PP466">
        <v>0</v>
      </c>
      <c r="PQ466">
        <v>0</v>
      </c>
      <c r="PR466">
        <v>0</v>
      </c>
      <c r="PS466">
        <v>0</v>
      </c>
      <c r="PT466">
        <v>1</v>
      </c>
      <c r="PU466">
        <v>0</v>
      </c>
      <c r="PV466">
        <v>0</v>
      </c>
      <c r="PW466">
        <v>0</v>
      </c>
      <c r="PX466">
        <v>0</v>
      </c>
      <c r="PY466">
        <v>0</v>
      </c>
      <c r="PZ466">
        <v>0</v>
      </c>
      <c r="QA466">
        <v>0</v>
      </c>
      <c r="QB466">
        <v>0</v>
      </c>
      <c r="QC466">
        <v>0</v>
      </c>
      <c r="QD466">
        <v>0</v>
      </c>
      <c r="QE466">
        <v>0</v>
      </c>
      <c r="QF466">
        <v>0</v>
      </c>
      <c r="QG466">
        <v>0</v>
      </c>
      <c r="QH466">
        <v>0</v>
      </c>
      <c r="QI466">
        <v>0</v>
      </c>
      <c r="QJ466">
        <v>0</v>
      </c>
      <c r="QK466">
        <v>0</v>
      </c>
      <c r="QL466">
        <v>0</v>
      </c>
      <c r="QM466">
        <v>0</v>
      </c>
      <c r="QN466">
        <v>0</v>
      </c>
      <c r="QO466">
        <v>0</v>
      </c>
      <c r="QP466">
        <v>0</v>
      </c>
      <c r="QQ466">
        <v>0</v>
      </c>
      <c r="QR466">
        <v>0</v>
      </c>
      <c r="QS466">
        <v>0</v>
      </c>
      <c r="QT466">
        <v>0</v>
      </c>
      <c r="QU466">
        <v>0</v>
      </c>
      <c r="QV466">
        <v>0</v>
      </c>
      <c r="QW466">
        <v>0</v>
      </c>
      <c r="QX466">
        <v>0</v>
      </c>
      <c r="QY466">
        <v>0</v>
      </c>
    </row>
    <row r="467" spans="1:467" hidden="1" x14ac:dyDescent="0.4">
      <c r="A467" t="str">
        <f>"9784065306796"</f>
        <v>9784065306796</v>
      </c>
      <c r="B467" t="str">
        <f>"4065306795"</f>
        <v>4065306795</v>
      </c>
      <c r="C467" t="s">
        <v>2762</v>
      </c>
      <c r="D467" t="s">
        <v>2763</v>
      </c>
      <c r="E467" t="s">
        <v>548</v>
      </c>
      <c r="G467" t="str">
        <f>"0095"</f>
        <v>0095</v>
      </c>
      <c r="H467" t="s">
        <v>481</v>
      </c>
      <c r="I467" t="s">
        <v>1893</v>
      </c>
      <c r="J467" t="s">
        <v>509</v>
      </c>
      <c r="L467" s="1">
        <v>44911</v>
      </c>
      <c r="M467">
        <v>1800</v>
      </c>
      <c r="N467">
        <v>7</v>
      </c>
      <c r="O467">
        <v>6</v>
      </c>
      <c r="P467">
        <v>7</v>
      </c>
      <c r="Q467">
        <v>6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1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1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1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2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1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1</v>
      </c>
      <c r="NH467">
        <v>0</v>
      </c>
      <c r="NI467">
        <v>0</v>
      </c>
      <c r="NJ467">
        <v>0</v>
      </c>
      <c r="NK467">
        <v>0</v>
      </c>
      <c r="NL467">
        <v>0</v>
      </c>
      <c r="NM467">
        <v>0</v>
      </c>
      <c r="NN467">
        <v>0</v>
      </c>
      <c r="NO467">
        <v>0</v>
      </c>
      <c r="NP467">
        <v>0</v>
      </c>
      <c r="NQ467">
        <v>0</v>
      </c>
      <c r="NR467">
        <v>0</v>
      </c>
      <c r="NS467">
        <v>0</v>
      </c>
      <c r="NT467">
        <v>0</v>
      </c>
      <c r="NU467">
        <v>0</v>
      </c>
      <c r="NV467">
        <v>0</v>
      </c>
      <c r="NW467">
        <v>0</v>
      </c>
      <c r="NX467">
        <v>0</v>
      </c>
      <c r="NY467">
        <v>0</v>
      </c>
      <c r="NZ467">
        <v>0</v>
      </c>
      <c r="OA467">
        <v>0</v>
      </c>
      <c r="OB467">
        <v>0</v>
      </c>
      <c r="OC467">
        <v>0</v>
      </c>
      <c r="OD467">
        <v>0</v>
      </c>
      <c r="OE467">
        <v>0</v>
      </c>
      <c r="OF467">
        <v>0</v>
      </c>
      <c r="OG467">
        <v>0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0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0</v>
      </c>
      <c r="PB467">
        <v>0</v>
      </c>
      <c r="PC467">
        <v>0</v>
      </c>
      <c r="PD467">
        <v>0</v>
      </c>
      <c r="PE467">
        <v>0</v>
      </c>
      <c r="PF467">
        <v>0</v>
      </c>
      <c r="PG467">
        <v>0</v>
      </c>
      <c r="PH467">
        <v>0</v>
      </c>
      <c r="PI467">
        <v>0</v>
      </c>
      <c r="PJ467">
        <v>0</v>
      </c>
      <c r="PK467">
        <v>0</v>
      </c>
      <c r="PL467">
        <v>0</v>
      </c>
      <c r="PM467">
        <v>0</v>
      </c>
      <c r="PN467">
        <v>0</v>
      </c>
      <c r="PO467">
        <v>0</v>
      </c>
      <c r="PP467">
        <v>0</v>
      </c>
      <c r="PQ467">
        <v>0</v>
      </c>
      <c r="PR467">
        <v>0</v>
      </c>
      <c r="PS467">
        <v>0</v>
      </c>
      <c r="PT467">
        <v>0</v>
      </c>
      <c r="PU467">
        <v>0</v>
      </c>
      <c r="PV467">
        <v>0</v>
      </c>
      <c r="PW467">
        <v>0</v>
      </c>
      <c r="PX467">
        <v>0</v>
      </c>
      <c r="PY467">
        <v>0</v>
      </c>
      <c r="PZ467">
        <v>0</v>
      </c>
      <c r="QA467">
        <v>0</v>
      </c>
      <c r="QB467">
        <v>0</v>
      </c>
      <c r="QC467">
        <v>0</v>
      </c>
      <c r="QD467">
        <v>0</v>
      </c>
      <c r="QE467">
        <v>0</v>
      </c>
      <c r="QF467">
        <v>0</v>
      </c>
      <c r="QG467">
        <v>0</v>
      </c>
      <c r="QH467">
        <v>0</v>
      </c>
      <c r="QI467">
        <v>0</v>
      </c>
      <c r="QJ467">
        <v>0</v>
      </c>
      <c r="QK467">
        <v>0</v>
      </c>
      <c r="QL467">
        <v>0</v>
      </c>
      <c r="QM467">
        <v>0</v>
      </c>
      <c r="QN467">
        <v>0</v>
      </c>
      <c r="QO467">
        <v>0</v>
      </c>
      <c r="QP467">
        <v>0</v>
      </c>
      <c r="QQ467">
        <v>0</v>
      </c>
      <c r="QR467">
        <v>0</v>
      </c>
      <c r="QS467">
        <v>0</v>
      </c>
      <c r="QT467">
        <v>0</v>
      </c>
      <c r="QU467">
        <v>0</v>
      </c>
      <c r="QV467">
        <v>0</v>
      </c>
      <c r="QW467">
        <v>0</v>
      </c>
      <c r="QX467">
        <v>0</v>
      </c>
      <c r="QY467">
        <v>0</v>
      </c>
    </row>
    <row r="468" spans="1:467" hidden="1" x14ac:dyDescent="0.4">
      <c r="A468" t="str">
        <f>"9784823411816"</f>
        <v>9784823411816</v>
      </c>
      <c r="B468" t="str">
        <f>"4823411811"</f>
        <v>4823411811</v>
      </c>
      <c r="C468" t="s">
        <v>2764</v>
      </c>
      <c r="D468" t="s">
        <v>2765</v>
      </c>
      <c r="E468" t="s">
        <v>2396</v>
      </c>
      <c r="G468" t="str">
        <f>"1090"</f>
        <v>1090</v>
      </c>
      <c r="H468" t="s">
        <v>541</v>
      </c>
      <c r="I468" t="s">
        <v>1893</v>
      </c>
      <c r="J468" t="s">
        <v>1885</v>
      </c>
      <c r="L468" s="1">
        <v>44910</v>
      </c>
      <c r="M468">
        <v>2800</v>
      </c>
      <c r="N468">
        <v>7</v>
      </c>
      <c r="O468">
        <v>6</v>
      </c>
      <c r="P468">
        <v>7</v>
      </c>
      <c r="Q468">
        <v>6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1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1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2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1</v>
      </c>
      <c r="FB468">
        <v>0</v>
      </c>
      <c r="FC468">
        <v>0</v>
      </c>
      <c r="FD468">
        <v>1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1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  <c r="NK468">
        <v>0</v>
      </c>
      <c r="NL468">
        <v>0</v>
      </c>
      <c r="NM468">
        <v>0</v>
      </c>
      <c r="NN468">
        <v>0</v>
      </c>
      <c r="NO468">
        <v>0</v>
      </c>
      <c r="NP468">
        <v>0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0</v>
      </c>
      <c r="PA468">
        <v>0</v>
      </c>
      <c r="PB468">
        <v>0</v>
      </c>
      <c r="PC468">
        <v>0</v>
      </c>
      <c r="PD468">
        <v>0</v>
      </c>
      <c r="PE468">
        <v>0</v>
      </c>
      <c r="PF468">
        <v>0</v>
      </c>
      <c r="PG468">
        <v>0</v>
      </c>
      <c r="PH468">
        <v>0</v>
      </c>
      <c r="PI468">
        <v>0</v>
      </c>
      <c r="PJ468">
        <v>0</v>
      </c>
      <c r="PK468">
        <v>0</v>
      </c>
      <c r="PL468">
        <v>0</v>
      </c>
      <c r="PM468">
        <v>0</v>
      </c>
      <c r="PN468">
        <v>0</v>
      </c>
      <c r="PO468">
        <v>0</v>
      </c>
      <c r="PP468">
        <v>0</v>
      </c>
      <c r="PQ468">
        <v>0</v>
      </c>
      <c r="PR468">
        <v>0</v>
      </c>
      <c r="PS468">
        <v>0</v>
      </c>
      <c r="PT468">
        <v>0</v>
      </c>
      <c r="PU468">
        <v>0</v>
      </c>
      <c r="PV468">
        <v>0</v>
      </c>
      <c r="PW468">
        <v>0</v>
      </c>
      <c r="PX468">
        <v>0</v>
      </c>
      <c r="PY468">
        <v>0</v>
      </c>
      <c r="PZ468">
        <v>0</v>
      </c>
      <c r="QA468">
        <v>0</v>
      </c>
      <c r="QB468">
        <v>0</v>
      </c>
      <c r="QC468">
        <v>0</v>
      </c>
      <c r="QD468">
        <v>0</v>
      </c>
      <c r="QE468">
        <v>0</v>
      </c>
      <c r="QF468">
        <v>0</v>
      </c>
      <c r="QG468">
        <v>0</v>
      </c>
      <c r="QH468">
        <v>0</v>
      </c>
      <c r="QI468">
        <v>0</v>
      </c>
      <c r="QJ468">
        <v>0</v>
      </c>
      <c r="QK468">
        <v>0</v>
      </c>
      <c r="QL468">
        <v>0</v>
      </c>
      <c r="QM468">
        <v>0</v>
      </c>
      <c r="QN468">
        <v>0</v>
      </c>
      <c r="QO468">
        <v>0</v>
      </c>
      <c r="QP468">
        <v>0</v>
      </c>
      <c r="QQ468">
        <v>0</v>
      </c>
      <c r="QR468">
        <v>0</v>
      </c>
      <c r="QS468">
        <v>0</v>
      </c>
      <c r="QT468">
        <v>0</v>
      </c>
      <c r="QU468">
        <v>0</v>
      </c>
      <c r="QV468">
        <v>0</v>
      </c>
      <c r="QW468">
        <v>0</v>
      </c>
      <c r="QX468">
        <v>0</v>
      </c>
      <c r="QY468">
        <v>0</v>
      </c>
    </row>
    <row r="469" spans="1:467" hidden="1" x14ac:dyDescent="0.4">
      <c r="A469" t="str">
        <f>"9784041117354"</f>
        <v>9784041117354</v>
      </c>
      <c r="B469" t="str">
        <f>"4041117356"</f>
        <v>4041117356</v>
      </c>
      <c r="C469" t="s">
        <v>2766</v>
      </c>
      <c r="D469" t="s">
        <v>2767</v>
      </c>
      <c r="E469" t="s">
        <v>597</v>
      </c>
      <c r="G469" t="str">
        <f>"0093"</f>
        <v>0093</v>
      </c>
      <c r="H469" t="s">
        <v>481</v>
      </c>
      <c r="I469" t="s">
        <v>1893</v>
      </c>
      <c r="J469" t="s">
        <v>488</v>
      </c>
      <c r="L469" s="1">
        <v>44809</v>
      </c>
      <c r="M469">
        <v>1600</v>
      </c>
      <c r="N469">
        <v>7</v>
      </c>
      <c r="O469">
        <v>4</v>
      </c>
      <c r="P469">
        <v>7</v>
      </c>
      <c r="Q469">
        <v>4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3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2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1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1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0</v>
      </c>
      <c r="MS469">
        <v>0</v>
      </c>
      <c r="MT469">
        <v>0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0</v>
      </c>
      <c r="NL469">
        <v>0</v>
      </c>
      <c r="NM469">
        <v>0</v>
      </c>
      <c r="NN469">
        <v>0</v>
      </c>
      <c r="NO469">
        <v>0</v>
      </c>
      <c r="NP469">
        <v>0</v>
      </c>
      <c r="NQ469">
        <v>0</v>
      </c>
      <c r="NR469">
        <v>0</v>
      </c>
      <c r="NS469">
        <v>0</v>
      </c>
      <c r="NT469">
        <v>0</v>
      </c>
      <c r="NU469">
        <v>0</v>
      </c>
      <c r="NV469">
        <v>0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0</v>
      </c>
      <c r="OC469">
        <v>0</v>
      </c>
      <c r="OD469">
        <v>0</v>
      </c>
      <c r="OE469">
        <v>0</v>
      </c>
      <c r="OF469">
        <v>0</v>
      </c>
      <c r="OG469">
        <v>0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0</v>
      </c>
      <c r="PI469">
        <v>0</v>
      </c>
      <c r="PJ469">
        <v>0</v>
      </c>
      <c r="PK469">
        <v>0</v>
      </c>
      <c r="PL469">
        <v>0</v>
      </c>
      <c r="PM469">
        <v>0</v>
      </c>
      <c r="PN469">
        <v>0</v>
      </c>
      <c r="PO469">
        <v>0</v>
      </c>
      <c r="PP469">
        <v>0</v>
      </c>
      <c r="PQ469">
        <v>0</v>
      </c>
      <c r="PR469">
        <v>0</v>
      </c>
      <c r="PS469">
        <v>0</v>
      </c>
      <c r="PT469">
        <v>0</v>
      </c>
      <c r="PU469">
        <v>0</v>
      </c>
      <c r="PV469">
        <v>0</v>
      </c>
      <c r="PW469">
        <v>0</v>
      </c>
      <c r="PX469">
        <v>0</v>
      </c>
      <c r="PY469">
        <v>0</v>
      </c>
      <c r="PZ469">
        <v>0</v>
      </c>
      <c r="QA469">
        <v>0</v>
      </c>
      <c r="QB469">
        <v>0</v>
      </c>
      <c r="QC469">
        <v>0</v>
      </c>
      <c r="QD469">
        <v>0</v>
      </c>
      <c r="QE469">
        <v>0</v>
      </c>
      <c r="QF469">
        <v>0</v>
      </c>
      <c r="QG469">
        <v>0</v>
      </c>
      <c r="QH469">
        <v>0</v>
      </c>
      <c r="QI469">
        <v>0</v>
      </c>
      <c r="QJ469">
        <v>0</v>
      </c>
      <c r="QK469">
        <v>0</v>
      </c>
      <c r="QL469">
        <v>0</v>
      </c>
      <c r="QM469">
        <v>0</v>
      </c>
      <c r="QN469">
        <v>0</v>
      </c>
      <c r="QO469">
        <v>0</v>
      </c>
      <c r="QP469">
        <v>0</v>
      </c>
      <c r="QQ469">
        <v>0</v>
      </c>
      <c r="QR469">
        <v>0</v>
      </c>
      <c r="QS469">
        <v>0</v>
      </c>
      <c r="QT469">
        <v>0</v>
      </c>
      <c r="QU469">
        <v>0</v>
      </c>
      <c r="QV469">
        <v>0</v>
      </c>
      <c r="QW469">
        <v>0</v>
      </c>
      <c r="QX469">
        <v>0</v>
      </c>
      <c r="QY469">
        <v>0</v>
      </c>
    </row>
    <row r="470" spans="1:467" hidden="1" x14ac:dyDescent="0.4">
      <c r="A470" t="str">
        <f>"9784105901851"</f>
        <v>9784105901851</v>
      </c>
      <c r="B470" t="str">
        <f>"4105901850"</f>
        <v>4105901850</v>
      </c>
      <c r="C470" t="s">
        <v>2768</v>
      </c>
      <c r="D470" t="s">
        <v>2769</v>
      </c>
      <c r="E470" t="s">
        <v>516</v>
      </c>
      <c r="F470" t="s">
        <v>2770</v>
      </c>
      <c r="G470" t="str">
        <f>"0397"</f>
        <v>0397</v>
      </c>
      <c r="H470" t="s">
        <v>481</v>
      </c>
      <c r="I470" t="s">
        <v>1877</v>
      </c>
      <c r="J470" t="s">
        <v>564</v>
      </c>
      <c r="L470" s="1">
        <v>44915</v>
      </c>
      <c r="M470">
        <v>1700</v>
      </c>
      <c r="N470">
        <v>7</v>
      </c>
      <c r="O470">
        <v>7</v>
      </c>
      <c r="P470">
        <v>7</v>
      </c>
      <c r="Q470">
        <v>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1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1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1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1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0</v>
      </c>
      <c r="NL470">
        <v>0</v>
      </c>
      <c r="NM470">
        <v>0</v>
      </c>
      <c r="NN470">
        <v>0</v>
      </c>
      <c r="NO470">
        <v>0</v>
      </c>
      <c r="NP470">
        <v>0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0</v>
      </c>
      <c r="OG470">
        <v>0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0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0</v>
      </c>
      <c r="PA470">
        <v>0</v>
      </c>
      <c r="PB470">
        <v>0</v>
      </c>
      <c r="PC470">
        <v>0</v>
      </c>
      <c r="PD470">
        <v>0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0</v>
      </c>
      <c r="PN470">
        <v>0</v>
      </c>
      <c r="PO470">
        <v>0</v>
      </c>
      <c r="PP470">
        <v>0</v>
      </c>
      <c r="PQ470">
        <v>0</v>
      </c>
      <c r="PR470">
        <v>0</v>
      </c>
      <c r="PS470">
        <v>0</v>
      </c>
      <c r="PT470">
        <v>1</v>
      </c>
      <c r="PU470">
        <v>0</v>
      </c>
      <c r="PV470">
        <v>1</v>
      </c>
      <c r="PW470">
        <v>0</v>
      </c>
      <c r="PX470">
        <v>0</v>
      </c>
      <c r="PY470">
        <v>0</v>
      </c>
      <c r="PZ470">
        <v>0</v>
      </c>
      <c r="QA470">
        <v>0</v>
      </c>
      <c r="QB470">
        <v>0</v>
      </c>
      <c r="QC470">
        <v>0</v>
      </c>
      <c r="QD470">
        <v>0</v>
      </c>
      <c r="QE470">
        <v>0</v>
      </c>
      <c r="QF470">
        <v>0</v>
      </c>
      <c r="QG470">
        <v>0</v>
      </c>
      <c r="QH470">
        <v>0</v>
      </c>
      <c r="QI470">
        <v>0</v>
      </c>
      <c r="QJ470">
        <v>0</v>
      </c>
      <c r="QK470">
        <v>0</v>
      </c>
      <c r="QL470">
        <v>0</v>
      </c>
      <c r="QM470">
        <v>0</v>
      </c>
      <c r="QN470">
        <v>0</v>
      </c>
      <c r="QO470">
        <v>0</v>
      </c>
      <c r="QP470">
        <v>0</v>
      </c>
      <c r="QQ470">
        <v>0</v>
      </c>
      <c r="QR470">
        <v>0</v>
      </c>
      <c r="QS470">
        <v>0</v>
      </c>
      <c r="QT470">
        <v>0</v>
      </c>
      <c r="QU470">
        <v>0</v>
      </c>
      <c r="QV470">
        <v>0</v>
      </c>
      <c r="QW470">
        <v>0</v>
      </c>
      <c r="QX470">
        <v>0</v>
      </c>
      <c r="QY470">
        <v>0</v>
      </c>
    </row>
    <row r="471" spans="1:467" hidden="1" x14ac:dyDescent="0.4">
      <c r="A471" t="str">
        <f>"9784900997868"</f>
        <v>9784900997868</v>
      </c>
      <c r="B471" t="str">
        <f>"4900997862"</f>
        <v>4900997862</v>
      </c>
      <c r="C471" t="s">
        <v>2771</v>
      </c>
      <c r="D471" t="s">
        <v>2772</v>
      </c>
      <c r="E471" t="s">
        <v>2773</v>
      </c>
      <c r="G471" t="str">
        <f>"0095"</f>
        <v>0095</v>
      </c>
      <c r="H471" t="s">
        <v>481</v>
      </c>
      <c r="I471" t="s">
        <v>1893</v>
      </c>
      <c r="J471" t="s">
        <v>509</v>
      </c>
      <c r="L471" s="1">
        <v>44761</v>
      </c>
      <c r="M471">
        <v>4000</v>
      </c>
      <c r="N471">
        <v>7</v>
      </c>
      <c r="O471">
        <v>5</v>
      </c>
      <c r="P471">
        <v>7</v>
      </c>
      <c r="Q471">
        <v>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1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1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1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0</v>
      </c>
      <c r="NL471">
        <v>0</v>
      </c>
      <c r="NM471">
        <v>0</v>
      </c>
      <c r="NN471">
        <v>0</v>
      </c>
      <c r="NO471">
        <v>0</v>
      </c>
      <c r="NP471">
        <v>0</v>
      </c>
      <c r="NQ471">
        <v>0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1</v>
      </c>
      <c r="OC471">
        <v>0</v>
      </c>
      <c r="OD471">
        <v>0</v>
      </c>
      <c r="OE471">
        <v>0</v>
      </c>
      <c r="OF471">
        <v>0</v>
      </c>
      <c r="OG471">
        <v>0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0</v>
      </c>
      <c r="PF471">
        <v>0</v>
      </c>
      <c r="PG471">
        <v>0</v>
      </c>
      <c r="PH471">
        <v>0</v>
      </c>
      <c r="PI471">
        <v>0</v>
      </c>
      <c r="PJ471">
        <v>0</v>
      </c>
      <c r="PK471">
        <v>0</v>
      </c>
      <c r="PL471">
        <v>0</v>
      </c>
      <c r="PM471">
        <v>0</v>
      </c>
      <c r="PN471">
        <v>0</v>
      </c>
      <c r="PO471">
        <v>0</v>
      </c>
      <c r="PP471">
        <v>0</v>
      </c>
      <c r="PQ471">
        <v>0</v>
      </c>
      <c r="PR471">
        <v>0</v>
      </c>
      <c r="PS471">
        <v>0</v>
      </c>
      <c r="PT471">
        <v>0</v>
      </c>
      <c r="PU471">
        <v>0</v>
      </c>
      <c r="PV471">
        <v>0</v>
      </c>
      <c r="PW471">
        <v>0</v>
      </c>
      <c r="PX471">
        <v>0</v>
      </c>
      <c r="PY471">
        <v>0</v>
      </c>
      <c r="PZ471">
        <v>0</v>
      </c>
      <c r="QA471">
        <v>0</v>
      </c>
      <c r="QB471">
        <v>0</v>
      </c>
      <c r="QC471">
        <v>0</v>
      </c>
      <c r="QD471">
        <v>0</v>
      </c>
      <c r="QE471">
        <v>0</v>
      </c>
      <c r="QF471">
        <v>0</v>
      </c>
      <c r="QG471">
        <v>0</v>
      </c>
      <c r="QH471">
        <v>0</v>
      </c>
      <c r="QI471">
        <v>0</v>
      </c>
      <c r="QJ471">
        <v>0</v>
      </c>
      <c r="QK471">
        <v>3</v>
      </c>
      <c r="QL471">
        <v>0</v>
      </c>
      <c r="QM471">
        <v>0</v>
      </c>
      <c r="QN471">
        <v>0</v>
      </c>
      <c r="QO471">
        <v>0</v>
      </c>
      <c r="QP471">
        <v>0</v>
      </c>
      <c r="QQ471">
        <v>0</v>
      </c>
      <c r="QR471">
        <v>0</v>
      </c>
      <c r="QS471">
        <v>0</v>
      </c>
      <c r="QT471">
        <v>0</v>
      </c>
      <c r="QU471">
        <v>0</v>
      </c>
      <c r="QV471">
        <v>0</v>
      </c>
      <c r="QW471">
        <v>0</v>
      </c>
      <c r="QX471">
        <v>0</v>
      </c>
      <c r="QY471">
        <v>0</v>
      </c>
    </row>
    <row r="472" spans="1:467" hidden="1" x14ac:dyDescent="0.4">
      <c r="A472" t="str">
        <f>"9784907986919"</f>
        <v>9784907986919</v>
      </c>
      <c r="B472" t="str">
        <f>"4907986912"</f>
        <v>4907986912</v>
      </c>
      <c r="C472" t="s">
        <v>2774</v>
      </c>
      <c r="D472" t="s">
        <v>2775</v>
      </c>
      <c r="E472" t="s">
        <v>2776</v>
      </c>
      <c r="F472" t="s">
        <v>2777</v>
      </c>
      <c r="G472" t="str">
        <f>"0098"</f>
        <v>0098</v>
      </c>
      <c r="H472" t="s">
        <v>481</v>
      </c>
      <c r="I472" t="s">
        <v>1893</v>
      </c>
      <c r="J472" t="s">
        <v>1894</v>
      </c>
      <c r="L472" s="1">
        <v>44774</v>
      </c>
      <c r="M472">
        <v>2500</v>
      </c>
      <c r="N472">
        <v>7</v>
      </c>
      <c r="O472">
        <v>5</v>
      </c>
      <c r="P472">
        <v>7</v>
      </c>
      <c r="Q472">
        <v>5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1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2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1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1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2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0</v>
      </c>
      <c r="NL472">
        <v>0</v>
      </c>
      <c r="NM472">
        <v>0</v>
      </c>
      <c r="NN472">
        <v>0</v>
      </c>
      <c r="NO472">
        <v>0</v>
      </c>
      <c r="NP472">
        <v>0</v>
      </c>
      <c r="NQ472">
        <v>0</v>
      </c>
      <c r="NR472">
        <v>0</v>
      </c>
      <c r="NS472">
        <v>0</v>
      </c>
      <c r="NT472">
        <v>0</v>
      </c>
      <c r="NU472">
        <v>0</v>
      </c>
      <c r="NV472">
        <v>0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0</v>
      </c>
      <c r="PJ472">
        <v>0</v>
      </c>
      <c r="PK472">
        <v>0</v>
      </c>
      <c r="PL472">
        <v>0</v>
      </c>
      <c r="PM472">
        <v>0</v>
      </c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</row>
    <row r="473" spans="1:467" hidden="1" x14ac:dyDescent="0.4">
      <c r="A473" t="str">
        <f>"9784299033871"</f>
        <v>9784299033871</v>
      </c>
      <c r="B473" t="str">
        <f>"4299033876"</f>
        <v>4299033876</v>
      </c>
      <c r="C473" t="s">
        <v>2778</v>
      </c>
      <c r="D473" t="s">
        <v>2779</v>
      </c>
      <c r="E473" t="s">
        <v>1848</v>
      </c>
      <c r="G473" t="str">
        <f>"0095"</f>
        <v>0095</v>
      </c>
      <c r="H473" t="s">
        <v>481</v>
      </c>
      <c r="I473" t="s">
        <v>1893</v>
      </c>
      <c r="J473" t="s">
        <v>509</v>
      </c>
      <c r="L473" s="1">
        <v>44897</v>
      </c>
      <c r="M473">
        <v>682</v>
      </c>
      <c r="N473">
        <v>7</v>
      </c>
      <c r="O473">
        <v>7</v>
      </c>
      <c r="P473">
        <v>7</v>
      </c>
      <c r="Q473">
        <v>7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1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1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1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0</v>
      </c>
      <c r="NM473">
        <v>0</v>
      </c>
      <c r="NN473">
        <v>0</v>
      </c>
      <c r="NO473">
        <v>0</v>
      </c>
      <c r="NP473">
        <v>0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1</v>
      </c>
      <c r="NZ473">
        <v>0</v>
      </c>
      <c r="OA473">
        <v>0</v>
      </c>
      <c r="OB473">
        <v>0</v>
      </c>
      <c r="OC473">
        <v>0</v>
      </c>
      <c r="OD473">
        <v>0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  <c r="PB473">
        <v>0</v>
      </c>
      <c r="PC473">
        <v>0</v>
      </c>
      <c r="PD473">
        <v>0</v>
      </c>
      <c r="PE473">
        <v>0</v>
      </c>
      <c r="PF473">
        <v>0</v>
      </c>
      <c r="PG473">
        <v>0</v>
      </c>
      <c r="PH473">
        <v>0</v>
      </c>
      <c r="PI473">
        <v>0</v>
      </c>
      <c r="PJ473">
        <v>0</v>
      </c>
      <c r="PK473">
        <v>1</v>
      </c>
      <c r="PL473">
        <v>0</v>
      </c>
      <c r="PM473">
        <v>0</v>
      </c>
      <c r="PN473">
        <v>0</v>
      </c>
      <c r="PO473">
        <v>0</v>
      </c>
      <c r="PP473">
        <v>1</v>
      </c>
      <c r="PQ473">
        <v>0</v>
      </c>
      <c r="PR473">
        <v>0</v>
      </c>
      <c r="PS473">
        <v>0</v>
      </c>
      <c r="PT473">
        <v>0</v>
      </c>
      <c r="PU473">
        <v>0</v>
      </c>
      <c r="PV473">
        <v>0</v>
      </c>
      <c r="PW473">
        <v>0</v>
      </c>
      <c r="PX473">
        <v>0</v>
      </c>
      <c r="PY473">
        <v>0</v>
      </c>
      <c r="PZ473">
        <v>0</v>
      </c>
      <c r="QA473">
        <v>0</v>
      </c>
      <c r="QB473">
        <v>1</v>
      </c>
      <c r="QC473">
        <v>0</v>
      </c>
      <c r="QD473">
        <v>0</v>
      </c>
      <c r="QE473">
        <v>0</v>
      </c>
      <c r="QF473">
        <v>0</v>
      </c>
      <c r="QG473">
        <v>0</v>
      </c>
      <c r="QH473">
        <v>0</v>
      </c>
      <c r="QI473">
        <v>0</v>
      </c>
      <c r="QJ473">
        <v>0</v>
      </c>
      <c r="QK473">
        <v>0</v>
      </c>
      <c r="QL473">
        <v>0</v>
      </c>
      <c r="QM473">
        <v>0</v>
      </c>
      <c r="QN473">
        <v>0</v>
      </c>
      <c r="QO473">
        <v>0</v>
      </c>
      <c r="QP473">
        <v>0</v>
      </c>
      <c r="QQ473">
        <v>0</v>
      </c>
      <c r="QR473">
        <v>0</v>
      </c>
      <c r="QS473">
        <v>0</v>
      </c>
      <c r="QT473">
        <v>0</v>
      </c>
      <c r="QU473">
        <v>0</v>
      </c>
      <c r="QV473">
        <v>0</v>
      </c>
      <c r="QW473">
        <v>0</v>
      </c>
      <c r="QX473">
        <v>0</v>
      </c>
      <c r="QY473">
        <v>0</v>
      </c>
    </row>
    <row r="474" spans="1:467" hidden="1" x14ac:dyDescent="0.4">
      <c r="A474" t="str">
        <f>"9784087718201"</f>
        <v>9784087718201</v>
      </c>
      <c r="B474" t="str">
        <f>"4087718204"</f>
        <v>4087718204</v>
      </c>
      <c r="C474" t="s">
        <v>2780</v>
      </c>
      <c r="D474" t="s">
        <v>2781</v>
      </c>
      <c r="E474" t="s">
        <v>536</v>
      </c>
      <c r="G474" t="str">
        <f>"0093"</f>
        <v>0093</v>
      </c>
      <c r="H474" t="s">
        <v>481</v>
      </c>
      <c r="I474" t="s">
        <v>1893</v>
      </c>
      <c r="J474" t="s">
        <v>488</v>
      </c>
      <c r="L474" s="1">
        <v>44932</v>
      </c>
      <c r="M474">
        <v>2100</v>
      </c>
      <c r="N474">
        <v>7</v>
      </c>
      <c r="O474">
        <v>7</v>
      </c>
      <c r="P474">
        <v>7</v>
      </c>
      <c r="Q474">
        <v>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1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1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0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1</v>
      </c>
      <c r="ND474">
        <v>0</v>
      </c>
      <c r="NE474">
        <v>0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0</v>
      </c>
      <c r="NL474">
        <v>0</v>
      </c>
      <c r="NM474">
        <v>0</v>
      </c>
      <c r="NN474">
        <v>0</v>
      </c>
      <c r="NO474">
        <v>0</v>
      </c>
      <c r="NP474">
        <v>0</v>
      </c>
      <c r="NQ474">
        <v>0</v>
      </c>
      <c r="NR474">
        <v>0</v>
      </c>
      <c r="NS474">
        <v>0</v>
      </c>
      <c r="NT474">
        <v>0</v>
      </c>
      <c r="NU474">
        <v>0</v>
      </c>
      <c r="NV474">
        <v>0</v>
      </c>
      <c r="NW474">
        <v>0</v>
      </c>
      <c r="NX474">
        <v>0</v>
      </c>
      <c r="NY474">
        <v>1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0</v>
      </c>
      <c r="OF474">
        <v>0</v>
      </c>
      <c r="OG474">
        <v>0</v>
      </c>
      <c r="OH474">
        <v>0</v>
      </c>
      <c r="OI474">
        <v>0</v>
      </c>
      <c r="OJ474">
        <v>0</v>
      </c>
      <c r="OK474">
        <v>0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0</v>
      </c>
      <c r="OU474">
        <v>0</v>
      </c>
      <c r="OV474">
        <v>0</v>
      </c>
      <c r="OW474">
        <v>0</v>
      </c>
      <c r="OX474">
        <v>0</v>
      </c>
      <c r="OY474">
        <v>0</v>
      </c>
      <c r="OZ474">
        <v>0</v>
      </c>
      <c r="PA474">
        <v>0</v>
      </c>
      <c r="PB474">
        <v>0</v>
      </c>
      <c r="PC474">
        <v>0</v>
      </c>
      <c r="PD474">
        <v>0</v>
      </c>
      <c r="PE474">
        <v>0</v>
      </c>
      <c r="PF474">
        <v>1</v>
      </c>
      <c r="PG474">
        <v>0</v>
      </c>
      <c r="PH474">
        <v>0</v>
      </c>
      <c r="PI474">
        <v>0</v>
      </c>
      <c r="PJ474">
        <v>0</v>
      </c>
      <c r="PK474">
        <v>0</v>
      </c>
      <c r="PL474">
        <v>0</v>
      </c>
      <c r="PM474">
        <v>0</v>
      </c>
      <c r="PN474">
        <v>0</v>
      </c>
      <c r="PO474">
        <v>0</v>
      </c>
      <c r="PP474">
        <v>0</v>
      </c>
      <c r="PQ474">
        <v>0</v>
      </c>
      <c r="PR474">
        <v>0</v>
      </c>
      <c r="PS474">
        <v>0</v>
      </c>
      <c r="PT474">
        <v>0</v>
      </c>
      <c r="PU474">
        <v>0</v>
      </c>
      <c r="PV474">
        <v>0</v>
      </c>
      <c r="PW474">
        <v>0</v>
      </c>
      <c r="PX474">
        <v>0</v>
      </c>
      <c r="PY474">
        <v>0</v>
      </c>
      <c r="PZ474">
        <v>0</v>
      </c>
      <c r="QA474">
        <v>0</v>
      </c>
      <c r="QB474">
        <v>0</v>
      </c>
      <c r="QC474">
        <v>0</v>
      </c>
      <c r="QD474">
        <v>0</v>
      </c>
      <c r="QE474">
        <v>0</v>
      </c>
      <c r="QF474">
        <v>0</v>
      </c>
      <c r="QG474">
        <v>0</v>
      </c>
      <c r="QH474">
        <v>0</v>
      </c>
      <c r="QI474">
        <v>0</v>
      </c>
      <c r="QJ474">
        <v>0</v>
      </c>
      <c r="QK474">
        <v>1</v>
      </c>
      <c r="QL474">
        <v>0</v>
      </c>
      <c r="QM474">
        <v>0</v>
      </c>
      <c r="QN474">
        <v>0</v>
      </c>
      <c r="QO474">
        <v>0</v>
      </c>
      <c r="QP474">
        <v>0</v>
      </c>
      <c r="QQ474">
        <v>0</v>
      </c>
      <c r="QR474">
        <v>0</v>
      </c>
      <c r="QS474">
        <v>0</v>
      </c>
      <c r="QT474">
        <v>0</v>
      </c>
      <c r="QU474">
        <v>0</v>
      </c>
      <c r="QV474">
        <v>0</v>
      </c>
      <c r="QW474">
        <v>0</v>
      </c>
      <c r="QX474">
        <v>0</v>
      </c>
      <c r="QY474">
        <v>0</v>
      </c>
    </row>
    <row r="475" spans="1:467" x14ac:dyDescent="0.4">
      <c r="A475" t="str">
        <f>"9784253281751"</f>
        <v>9784253281751</v>
      </c>
      <c r="B475" t="str">
        <f>"4253281753"</f>
        <v>4253281753</v>
      </c>
      <c r="C475" t="s">
        <v>2782</v>
      </c>
      <c r="D475" t="s">
        <v>2783</v>
      </c>
      <c r="E475" t="s">
        <v>2303</v>
      </c>
      <c r="F475" t="s">
        <v>2363</v>
      </c>
      <c r="G475" t="str">
        <f>"9979"</f>
        <v>9979</v>
      </c>
      <c r="H475" t="s">
        <v>1855</v>
      </c>
      <c r="I475" t="s">
        <v>1856</v>
      </c>
      <c r="J475" t="s">
        <v>1856</v>
      </c>
      <c r="L475" s="1">
        <v>44932</v>
      </c>
      <c r="M475">
        <v>500</v>
      </c>
      <c r="N475">
        <v>7</v>
      </c>
      <c r="O475">
        <v>6</v>
      </c>
      <c r="P475">
        <v>7</v>
      </c>
      <c r="Q475">
        <v>6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1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1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2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1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1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  <c r="NG475">
        <v>0</v>
      </c>
      <c r="NH475">
        <v>0</v>
      </c>
      <c r="NI475">
        <v>0</v>
      </c>
      <c r="NJ475">
        <v>0</v>
      </c>
      <c r="NK475">
        <v>0</v>
      </c>
      <c r="NL475">
        <v>0</v>
      </c>
      <c r="NM475">
        <v>0</v>
      </c>
      <c r="NN475">
        <v>0</v>
      </c>
      <c r="NO475">
        <v>0</v>
      </c>
      <c r="NP475">
        <v>0</v>
      </c>
      <c r="NQ475">
        <v>0</v>
      </c>
      <c r="NR475">
        <v>0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0</v>
      </c>
      <c r="OF475">
        <v>0</v>
      </c>
      <c r="OG475">
        <v>0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1</v>
      </c>
      <c r="OP475">
        <v>0</v>
      </c>
      <c r="OQ475">
        <v>0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0</v>
      </c>
      <c r="PH475">
        <v>0</v>
      </c>
      <c r="PI475">
        <v>0</v>
      </c>
      <c r="PJ475">
        <v>0</v>
      </c>
      <c r="PK475">
        <v>0</v>
      </c>
      <c r="PL475">
        <v>0</v>
      </c>
      <c r="PM475">
        <v>0</v>
      </c>
      <c r="PN475">
        <v>0</v>
      </c>
      <c r="PO475">
        <v>0</v>
      </c>
      <c r="PP475">
        <v>0</v>
      </c>
      <c r="PQ475">
        <v>0</v>
      </c>
      <c r="PR475">
        <v>0</v>
      </c>
      <c r="PS475">
        <v>0</v>
      </c>
      <c r="PT475">
        <v>0</v>
      </c>
      <c r="PU475">
        <v>0</v>
      </c>
      <c r="PV475">
        <v>0</v>
      </c>
      <c r="PW475">
        <v>0</v>
      </c>
      <c r="PX475">
        <v>0</v>
      </c>
      <c r="PY475">
        <v>0</v>
      </c>
      <c r="PZ475">
        <v>0</v>
      </c>
      <c r="QA475">
        <v>0</v>
      </c>
      <c r="QB475">
        <v>0</v>
      </c>
      <c r="QC475">
        <v>0</v>
      </c>
      <c r="QD475">
        <v>0</v>
      </c>
      <c r="QE475">
        <v>0</v>
      </c>
      <c r="QF475">
        <v>0</v>
      </c>
      <c r="QG475">
        <v>0</v>
      </c>
      <c r="QH475">
        <v>0</v>
      </c>
      <c r="QI475">
        <v>0</v>
      </c>
      <c r="QJ475">
        <v>0</v>
      </c>
      <c r="QK475">
        <v>0</v>
      </c>
      <c r="QL475">
        <v>0</v>
      </c>
      <c r="QM475">
        <v>0</v>
      </c>
      <c r="QN475">
        <v>0</v>
      </c>
      <c r="QO475">
        <v>0</v>
      </c>
      <c r="QP475">
        <v>0</v>
      </c>
      <c r="QQ475">
        <v>0</v>
      </c>
      <c r="QR475">
        <v>0</v>
      </c>
      <c r="QS475">
        <v>0</v>
      </c>
      <c r="QT475">
        <v>0</v>
      </c>
      <c r="QU475">
        <v>0</v>
      </c>
      <c r="QV475">
        <v>0</v>
      </c>
      <c r="QW475">
        <v>0</v>
      </c>
      <c r="QX475">
        <v>0</v>
      </c>
      <c r="QY475">
        <v>0</v>
      </c>
    </row>
    <row r="476" spans="1:467" hidden="1" x14ac:dyDescent="0.4">
      <c r="A476" t="str">
        <f>"9784163915166"</f>
        <v>9784163915166</v>
      </c>
      <c r="B476" t="str">
        <f>"4163915168"</f>
        <v>4163915168</v>
      </c>
      <c r="C476" t="s">
        <v>2784</v>
      </c>
      <c r="D476" t="s">
        <v>2565</v>
      </c>
      <c r="E476" t="s">
        <v>639</v>
      </c>
      <c r="G476" t="str">
        <f>"0093"</f>
        <v>0093</v>
      </c>
      <c r="H476" t="s">
        <v>481</v>
      </c>
      <c r="I476" t="s">
        <v>1893</v>
      </c>
      <c r="J476" t="s">
        <v>488</v>
      </c>
      <c r="L476" s="1">
        <v>44643</v>
      </c>
      <c r="M476">
        <v>1700</v>
      </c>
      <c r="N476">
        <v>7</v>
      </c>
      <c r="O476">
        <v>6</v>
      </c>
      <c r="P476">
        <v>7</v>
      </c>
      <c r="Q476">
        <v>6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1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1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2</v>
      </c>
      <c r="JC476">
        <v>0</v>
      </c>
      <c r="JD476">
        <v>0</v>
      </c>
      <c r="JE476">
        <v>0</v>
      </c>
      <c r="JF476">
        <v>1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1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  <c r="NK476">
        <v>0</v>
      </c>
      <c r="NL476">
        <v>0</v>
      </c>
      <c r="NM476">
        <v>0</v>
      </c>
      <c r="NN476">
        <v>0</v>
      </c>
      <c r="NO476">
        <v>0</v>
      </c>
      <c r="NP476">
        <v>0</v>
      </c>
      <c r="NQ476">
        <v>0</v>
      </c>
      <c r="NR476">
        <v>0</v>
      </c>
      <c r="NS476">
        <v>0</v>
      </c>
      <c r="NT476">
        <v>0</v>
      </c>
      <c r="NU476">
        <v>0</v>
      </c>
      <c r="NV476">
        <v>0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C476">
        <v>0</v>
      </c>
      <c r="OD476">
        <v>0</v>
      </c>
      <c r="OE476">
        <v>0</v>
      </c>
      <c r="OF476">
        <v>0</v>
      </c>
      <c r="OG476">
        <v>0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0</v>
      </c>
      <c r="PJ476">
        <v>0</v>
      </c>
      <c r="PK476">
        <v>0</v>
      </c>
      <c r="PL476">
        <v>0</v>
      </c>
      <c r="PM476">
        <v>0</v>
      </c>
      <c r="PN476">
        <v>0</v>
      </c>
      <c r="PO476">
        <v>0</v>
      </c>
      <c r="PP476">
        <v>0</v>
      </c>
      <c r="PQ476">
        <v>0</v>
      </c>
      <c r="PR476">
        <v>0</v>
      </c>
      <c r="PS476">
        <v>0</v>
      </c>
      <c r="PT476">
        <v>0</v>
      </c>
      <c r="PU476">
        <v>0</v>
      </c>
      <c r="PV476">
        <v>0</v>
      </c>
      <c r="PW476">
        <v>0</v>
      </c>
      <c r="PX476">
        <v>0</v>
      </c>
      <c r="PY476">
        <v>0</v>
      </c>
      <c r="PZ476">
        <v>0</v>
      </c>
      <c r="QA476">
        <v>0</v>
      </c>
      <c r="QB476">
        <v>0</v>
      </c>
      <c r="QC476">
        <v>0</v>
      </c>
      <c r="QD476">
        <v>0</v>
      </c>
      <c r="QE476">
        <v>0</v>
      </c>
      <c r="QF476">
        <v>0</v>
      </c>
      <c r="QG476">
        <v>0</v>
      </c>
      <c r="QH476">
        <v>0</v>
      </c>
      <c r="QI476">
        <v>0</v>
      </c>
      <c r="QJ476">
        <v>0</v>
      </c>
      <c r="QK476">
        <v>0</v>
      </c>
      <c r="QL476">
        <v>0</v>
      </c>
      <c r="QM476">
        <v>0</v>
      </c>
      <c r="QN476">
        <v>0</v>
      </c>
      <c r="QO476">
        <v>0</v>
      </c>
      <c r="QP476">
        <v>0</v>
      </c>
      <c r="QQ476">
        <v>1</v>
      </c>
      <c r="QR476">
        <v>0</v>
      </c>
      <c r="QS476">
        <v>0</v>
      </c>
      <c r="QT476">
        <v>0</v>
      </c>
      <c r="QU476">
        <v>0</v>
      </c>
      <c r="QV476">
        <v>0</v>
      </c>
      <c r="QW476">
        <v>0</v>
      </c>
      <c r="QX476">
        <v>0</v>
      </c>
      <c r="QY476">
        <v>0</v>
      </c>
    </row>
    <row r="477" spans="1:467" x14ac:dyDescent="0.4">
      <c r="A477" t="str">
        <f>"9784758024976"</f>
        <v>9784758024976</v>
      </c>
      <c r="B477" t="str">
        <f>"4758024979"</f>
        <v>4758024979</v>
      </c>
      <c r="C477" t="s">
        <v>2785</v>
      </c>
      <c r="D477" t="s">
        <v>2786</v>
      </c>
      <c r="E477" t="s">
        <v>2571</v>
      </c>
      <c r="F477" t="s">
        <v>2572</v>
      </c>
      <c r="G477" t="str">
        <f>"9979"</f>
        <v>9979</v>
      </c>
      <c r="H477" t="s">
        <v>1855</v>
      </c>
      <c r="I477" t="s">
        <v>1856</v>
      </c>
      <c r="J477" t="s">
        <v>1856</v>
      </c>
      <c r="L477" s="1">
        <v>44951</v>
      </c>
      <c r="M477">
        <v>740</v>
      </c>
      <c r="N477">
        <v>7</v>
      </c>
      <c r="O477">
        <v>6</v>
      </c>
      <c r="P477">
        <v>7</v>
      </c>
      <c r="Q477">
        <v>6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2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1</v>
      </c>
      <c r="DZ477">
        <v>0</v>
      </c>
      <c r="EA477">
        <v>0</v>
      </c>
      <c r="EB477">
        <v>0</v>
      </c>
      <c r="EC477">
        <v>0</v>
      </c>
      <c r="ED477">
        <v>1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1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1</v>
      </c>
      <c r="LY477">
        <v>0</v>
      </c>
      <c r="LZ477">
        <v>0</v>
      </c>
      <c r="MA477">
        <v>0</v>
      </c>
      <c r="MB477">
        <v>1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0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0</v>
      </c>
      <c r="NF477">
        <v>0</v>
      </c>
      <c r="NG477">
        <v>0</v>
      </c>
      <c r="NH477">
        <v>0</v>
      </c>
      <c r="NI477">
        <v>0</v>
      </c>
      <c r="NJ477">
        <v>0</v>
      </c>
      <c r="NK477">
        <v>0</v>
      </c>
      <c r="NL477">
        <v>0</v>
      </c>
      <c r="NM477">
        <v>0</v>
      </c>
      <c r="NN477">
        <v>0</v>
      </c>
      <c r="NO477">
        <v>0</v>
      </c>
      <c r="NP477">
        <v>0</v>
      </c>
      <c r="NQ477">
        <v>0</v>
      </c>
      <c r="NR477">
        <v>0</v>
      </c>
      <c r="NS477">
        <v>0</v>
      </c>
      <c r="NT477">
        <v>0</v>
      </c>
      <c r="NU477">
        <v>0</v>
      </c>
      <c r="NV477">
        <v>0</v>
      </c>
      <c r="NW477">
        <v>0</v>
      </c>
      <c r="NX477">
        <v>0</v>
      </c>
      <c r="NY477">
        <v>0</v>
      </c>
      <c r="NZ477">
        <v>0</v>
      </c>
      <c r="OA477">
        <v>0</v>
      </c>
      <c r="OB477">
        <v>0</v>
      </c>
      <c r="OC477">
        <v>0</v>
      </c>
      <c r="OD477">
        <v>0</v>
      </c>
      <c r="OE477">
        <v>0</v>
      </c>
      <c r="OF477">
        <v>0</v>
      </c>
      <c r="OG477">
        <v>0</v>
      </c>
      <c r="OH477">
        <v>0</v>
      </c>
      <c r="OI477">
        <v>0</v>
      </c>
      <c r="OJ477">
        <v>0</v>
      </c>
      <c r="OK477">
        <v>0</v>
      </c>
      <c r="OL477">
        <v>0</v>
      </c>
      <c r="OM477">
        <v>0</v>
      </c>
      <c r="ON477">
        <v>0</v>
      </c>
      <c r="OO477">
        <v>0</v>
      </c>
      <c r="OP477">
        <v>0</v>
      </c>
      <c r="OQ477">
        <v>0</v>
      </c>
      <c r="OR477">
        <v>0</v>
      </c>
      <c r="OS477">
        <v>0</v>
      </c>
      <c r="OT477">
        <v>0</v>
      </c>
      <c r="OU477">
        <v>0</v>
      </c>
      <c r="OV477">
        <v>0</v>
      </c>
      <c r="OW477">
        <v>0</v>
      </c>
      <c r="OX477">
        <v>0</v>
      </c>
      <c r="OY477">
        <v>0</v>
      </c>
      <c r="OZ477">
        <v>0</v>
      </c>
      <c r="PA477">
        <v>0</v>
      </c>
      <c r="PB477">
        <v>0</v>
      </c>
      <c r="PC477">
        <v>0</v>
      </c>
      <c r="PD477">
        <v>0</v>
      </c>
      <c r="PE477">
        <v>0</v>
      </c>
      <c r="PF477">
        <v>0</v>
      </c>
      <c r="PG477">
        <v>0</v>
      </c>
      <c r="PH477">
        <v>0</v>
      </c>
      <c r="PI477">
        <v>0</v>
      </c>
      <c r="PJ477">
        <v>0</v>
      </c>
      <c r="PK477">
        <v>0</v>
      </c>
      <c r="PL477">
        <v>0</v>
      </c>
      <c r="PM477">
        <v>0</v>
      </c>
      <c r="PN477">
        <v>0</v>
      </c>
      <c r="PO477">
        <v>0</v>
      </c>
      <c r="PP477">
        <v>0</v>
      </c>
      <c r="PQ477">
        <v>0</v>
      </c>
      <c r="PR477">
        <v>0</v>
      </c>
      <c r="PS477">
        <v>0</v>
      </c>
      <c r="PT477">
        <v>0</v>
      </c>
      <c r="PU477">
        <v>0</v>
      </c>
      <c r="PV477">
        <v>0</v>
      </c>
      <c r="PW477">
        <v>0</v>
      </c>
      <c r="PX477">
        <v>0</v>
      </c>
      <c r="PY477">
        <v>0</v>
      </c>
      <c r="PZ477">
        <v>0</v>
      </c>
      <c r="QA477">
        <v>0</v>
      </c>
      <c r="QB477">
        <v>0</v>
      </c>
      <c r="QC477">
        <v>0</v>
      </c>
      <c r="QD477">
        <v>0</v>
      </c>
      <c r="QE477">
        <v>0</v>
      </c>
      <c r="QF477">
        <v>0</v>
      </c>
      <c r="QG477">
        <v>0</v>
      </c>
      <c r="QH477">
        <v>0</v>
      </c>
      <c r="QI477">
        <v>0</v>
      </c>
      <c r="QJ477">
        <v>0</v>
      </c>
      <c r="QK477">
        <v>0</v>
      </c>
      <c r="QL477">
        <v>0</v>
      </c>
      <c r="QM477">
        <v>0</v>
      </c>
      <c r="QN477">
        <v>0</v>
      </c>
      <c r="QO477">
        <v>0</v>
      </c>
      <c r="QP477">
        <v>0</v>
      </c>
      <c r="QQ477">
        <v>0</v>
      </c>
      <c r="QR477">
        <v>0</v>
      </c>
      <c r="QS477">
        <v>0</v>
      </c>
      <c r="QT477">
        <v>0</v>
      </c>
      <c r="QU477">
        <v>0</v>
      </c>
      <c r="QV477">
        <v>0</v>
      </c>
      <c r="QW477">
        <v>0</v>
      </c>
      <c r="QX477">
        <v>0</v>
      </c>
      <c r="QY477">
        <v>0</v>
      </c>
    </row>
    <row r="478" spans="1:467" hidden="1" x14ac:dyDescent="0.4">
      <c r="A478" t="str">
        <f>"9784087717846"</f>
        <v>9784087717846</v>
      </c>
      <c r="B478" t="str">
        <f>"4087717844"</f>
        <v>4087717844</v>
      </c>
      <c r="C478" t="s">
        <v>2787</v>
      </c>
      <c r="D478" t="s">
        <v>2788</v>
      </c>
      <c r="E478" t="s">
        <v>536</v>
      </c>
      <c r="G478" t="str">
        <f>"0093"</f>
        <v>0093</v>
      </c>
      <c r="H478" t="s">
        <v>481</v>
      </c>
      <c r="I478" t="s">
        <v>1893</v>
      </c>
      <c r="J478" t="s">
        <v>488</v>
      </c>
      <c r="L478" s="1">
        <v>44679</v>
      </c>
      <c r="M478">
        <v>1600</v>
      </c>
      <c r="N478">
        <v>7</v>
      </c>
      <c r="O478">
        <v>7</v>
      </c>
      <c r="P478">
        <v>7</v>
      </c>
      <c r="Q478">
        <v>7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1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1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1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1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1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0</v>
      </c>
      <c r="NL478">
        <v>0</v>
      </c>
      <c r="NM478">
        <v>0</v>
      </c>
      <c r="NN478">
        <v>0</v>
      </c>
      <c r="NO478">
        <v>0</v>
      </c>
      <c r="NP478">
        <v>0</v>
      </c>
      <c r="NQ478">
        <v>0</v>
      </c>
      <c r="NR478">
        <v>0</v>
      </c>
      <c r="NS478">
        <v>0</v>
      </c>
      <c r="NT478">
        <v>0</v>
      </c>
      <c r="NU478">
        <v>0</v>
      </c>
      <c r="NV478">
        <v>0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C478">
        <v>0</v>
      </c>
      <c r="OD478">
        <v>1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0</v>
      </c>
      <c r="OZ478">
        <v>0</v>
      </c>
      <c r="PA478">
        <v>0</v>
      </c>
      <c r="PB478">
        <v>1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0</v>
      </c>
      <c r="PN478">
        <v>0</v>
      </c>
      <c r="PO478">
        <v>0</v>
      </c>
      <c r="PP478">
        <v>0</v>
      </c>
      <c r="PQ478">
        <v>0</v>
      </c>
      <c r="PR478">
        <v>0</v>
      </c>
      <c r="PS478">
        <v>0</v>
      </c>
      <c r="PT478">
        <v>0</v>
      </c>
      <c r="PU478">
        <v>0</v>
      </c>
      <c r="PV478">
        <v>0</v>
      </c>
      <c r="PW478">
        <v>0</v>
      </c>
      <c r="PX478">
        <v>0</v>
      </c>
      <c r="PY478">
        <v>0</v>
      </c>
      <c r="PZ478">
        <v>0</v>
      </c>
      <c r="QA478">
        <v>0</v>
      </c>
      <c r="QB478">
        <v>0</v>
      </c>
      <c r="QC478">
        <v>0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</v>
      </c>
      <c r="QJ478">
        <v>0</v>
      </c>
      <c r="QK478">
        <v>0</v>
      </c>
      <c r="QL478">
        <v>0</v>
      </c>
      <c r="QM478">
        <v>0</v>
      </c>
      <c r="QN478">
        <v>0</v>
      </c>
      <c r="QO478">
        <v>0</v>
      </c>
      <c r="QP478">
        <v>0</v>
      </c>
      <c r="QQ478">
        <v>0</v>
      </c>
      <c r="QR478">
        <v>0</v>
      </c>
      <c r="QS478">
        <v>0</v>
      </c>
      <c r="QT478">
        <v>0</v>
      </c>
      <c r="QU478">
        <v>0</v>
      </c>
      <c r="QV478">
        <v>0</v>
      </c>
      <c r="QW478">
        <v>0</v>
      </c>
      <c r="QX478">
        <v>0</v>
      </c>
      <c r="QY478">
        <v>0</v>
      </c>
    </row>
    <row r="479" spans="1:467" hidden="1" x14ac:dyDescent="0.4">
      <c r="A479" t="str">
        <f>"9784788517479"</f>
        <v>9784788517479</v>
      </c>
      <c r="B479" t="str">
        <f>"4788517477"</f>
        <v>4788517477</v>
      </c>
      <c r="C479" t="s">
        <v>2789</v>
      </c>
      <c r="D479" t="s">
        <v>2107</v>
      </c>
      <c r="E479" t="s">
        <v>2108</v>
      </c>
      <c r="G479" t="str">
        <f>"1026"</f>
        <v>1026</v>
      </c>
      <c r="H479" t="s">
        <v>541</v>
      </c>
      <c r="I479" t="s">
        <v>1893</v>
      </c>
      <c r="J479" t="s">
        <v>2110</v>
      </c>
      <c r="L479" s="1">
        <v>44537</v>
      </c>
      <c r="M479">
        <v>2600</v>
      </c>
      <c r="N479">
        <v>7</v>
      </c>
      <c r="O479">
        <v>6</v>
      </c>
      <c r="P479">
        <v>7</v>
      </c>
      <c r="Q479">
        <v>6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1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1</v>
      </c>
      <c r="JN479">
        <v>0</v>
      </c>
      <c r="JO479">
        <v>0</v>
      </c>
      <c r="JP479">
        <v>0</v>
      </c>
      <c r="JQ479">
        <v>2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1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1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</v>
      </c>
      <c r="NI479">
        <v>0</v>
      </c>
      <c r="NJ479">
        <v>0</v>
      </c>
      <c r="NK479">
        <v>0</v>
      </c>
      <c r="NL479">
        <v>0</v>
      </c>
      <c r="NM479">
        <v>0</v>
      </c>
      <c r="NN479">
        <v>0</v>
      </c>
      <c r="NO479">
        <v>0</v>
      </c>
      <c r="NP479">
        <v>0</v>
      </c>
      <c r="NQ479">
        <v>0</v>
      </c>
      <c r="NR479">
        <v>0</v>
      </c>
      <c r="NS479">
        <v>0</v>
      </c>
      <c r="NT479">
        <v>0</v>
      </c>
      <c r="NU479">
        <v>0</v>
      </c>
      <c r="NV479">
        <v>0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C479">
        <v>0</v>
      </c>
      <c r="OD479">
        <v>0</v>
      </c>
      <c r="OE479">
        <v>0</v>
      </c>
      <c r="OF479">
        <v>0</v>
      </c>
      <c r="OG479">
        <v>0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1</v>
      </c>
      <c r="OU479">
        <v>0</v>
      </c>
      <c r="OV479">
        <v>0</v>
      </c>
      <c r="OW479">
        <v>0</v>
      </c>
      <c r="OX479">
        <v>0</v>
      </c>
      <c r="OY479">
        <v>0</v>
      </c>
      <c r="OZ479">
        <v>0</v>
      </c>
      <c r="PA479">
        <v>0</v>
      </c>
      <c r="PB479">
        <v>0</v>
      </c>
      <c r="PC479">
        <v>0</v>
      </c>
      <c r="PD479">
        <v>0</v>
      </c>
      <c r="PE479">
        <v>0</v>
      </c>
      <c r="PF479">
        <v>0</v>
      </c>
      <c r="PG479">
        <v>0</v>
      </c>
      <c r="PH479">
        <v>0</v>
      </c>
      <c r="PI479">
        <v>0</v>
      </c>
      <c r="PJ479">
        <v>0</v>
      </c>
      <c r="PK479">
        <v>0</v>
      </c>
      <c r="PL479">
        <v>0</v>
      </c>
      <c r="PM479">
        <v>0</v>
      </c>
      <c r="PN479">
        <v>0</v>
      </c>
      <c r="PO479">
        <v>0</v>
      </c>
      <c r="PP479">
        <v>0</v>
      </c>
      <c r="PQ479">
        <v>0</v>
      </c>
      <c r="PR479">
        <v>0</v>
      </c>
      <c r="PS479">
        <v>0</v>
      </c>
      <c r="PT479">
        <v>0</v>
      </c>
      <c r="PU479">
        <v>0</v>
      </c>
      <c r="PV479">
        <v>0</v>
      </c>
      <c r="PW479">
        <v>0</v>
      </c>
      <c r="PX479">
        <v>0</v>
      </c>
      <c r="PY479">
        <v>0</v>
      </c>
      <c r="PZ479">
        <v>0</v>
      </c>
      <c r="QA479">
        <v>0</v>
      </c>
      <c r="QB479">
        <v>0</v>
      </c>
      <c r="QC479">
        <v>0</v>
      </c>
      <c r="QD479">
        <v>0</v>
      </c>
      <c r="QE479">
        <v>0</v>
      </c>
      <c r="QF479">
        <v>0</v>
      </c>
      <c r="QG479">
        <v>0</v>
      </c>
      <c r="QH479">
        <v>0</v>
      </c>
      <c r="QI479">
        <v>0</v>
      </c>
      <c r="QJ479">
        <v>0</v>
      </c>
      <c r="QK479">
        <v>0</v>
      </c>
      <c r="QL479">
        <v>0</v>
      </c>
      <c r="QM479">
        <v>0</v>
      </c>
      <c r="QN479">
        <v>0</v>
      </c>
      <c r="QO479">
        <v>0</v>
      </c>
      <c r="QP479">
        <v>0</v>
      </c>
      <c r="QQ479">
        <v>0</v>
      </c>
      <c r="QR479">
        <v>0</v>
      </c>
      <c r="QS479">
        <v>0</v>
      </c>
      <c r="QT479">
        <v>0</v>
      </c>
      <c r="QU479">
        <v>0</v>
      </c>
      <c r="QV479">
        <v>0</v>
      </c>
      <c r="QW479">
        <v>0</v>
      </c>
      <c r="QX479">
        <v>0</v>
      </c>
      <c r="QY479">
        <v>0</v>
      </c>
    </row>
    <row r="480" spans="1:467" hidden="1" x14ac:dyDescent="0.4">
      <c r="A480" t="str">
        <f>"9784103058892"</f>
        <v>9784103058892</v>
      </c>
      <c r="B480" t="str">
        <f>"4103058897"</f>
        <v>4103058897</v>
      </c>
      <c r="C480" t="s">
        <v>2790</v>
      </c>
      <c r="D480" t="s">
        <v>2791</v>
      </c>
      <c r="E480" t="s">
        <v>516</v>
      </c>
      <c r="F480" t="s">
        <v>2792</v>
      </c>
      <c r="G480" t="str">
        <f>"0095"</f>
        <v>0095</v>
      </c>
      <c r="H480" t="s">
        <v>481</v>
      </c>
      <c r="I480" t="s">
        <v>1893</v>
      </c>
      <c r="J480" t="s">
        <v>509</v>
      </c>
      <c r="L480" s="1">
        <v>44910</v>
      </c>
      <c r="M480">
        <v>1350</v>
      </c>
      <c r="N480">
        <v>7</v>
      </c>
      <c r="O480">
        <v>7</v>
      </c>
      <c r="P480">
        <v>7</v>
      </c>
      <c r="Q480">
        <v>7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1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1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1</v>
      </c>
      <c r="NF480">
        <v>0</v>
      </c>
      <c r="NG480">
        <v>0</v>
      </c>
      <c r="NH480">
        <v>0</v>
      </c>
      <c r="NI480">
        <v>0</v>
      </c>
      <c r="NJ480">
        <v>0</v>
      </c>
      <c r="NK480">
        <v>0</v>
      </c>
      <c r="NL480">
        <v>0</v>
      </c>
      <c r="NM480">
        <v>0</v>
      </c>
      <c r="NN480">
        <v>0</v>
      </c>
      <c r="NO480">
        <v>0</v>
      </c>
      <c r="NP480">
        <v>0</v>
      </c>
      <c r="NQ480">
        <v>0</v>
      </c>
      <c r="NR480">
        <v>0</v>
      </c>
      <c r="NS480">
        <v>0</v>
      </c>
      <c r="NT480">
        <v>0</v>
      </c>
      <c r="NU480">
        <v>0</v>
      </c>
      <c r="NV480">
        <v>0</v>
      </c>
      <c r="NW480">
        <v>0</v>
      </c>
      <c r="NX480">
        <v>0</v>
      </c>
      <c r="NY480">
        <v>0</v>
      </c>
      <c r="NZ480">
        <v>0</v>
      </c>
      <c r="OA480">
        <v>0</v>
      </c>
      <c r="OB480">
        <v>0</v>
      </c>
      <c r="OC480">
        <v>0</v>
      </c>
      <c r="OD480">
        <v>0</v>
      </c>
      <c r="OE480">
        <v>0</v>
      </c>
      <c r="OF480">
        <v>0</v>
      </c>
      <c r="OG480">
        <v>0</v>
      </c>
      <c r="OH480">
        <v>0</v>
      </c>
      <c r="OI480">
        <v>0</v>
      </c>
      <c r="OJ480">
        <v>0</v>
      </c>
      <c r="OK480">
        <v>0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0</v>
      </c>
      <c r="OW480">
        <v>0</v>
      </c>
      <c r="OX480">
        <v>0</v>
      </c>
      <c r="OY480">
        <v>0</v>
      </c>
      <c r="OZ480">
        <v>0</v>
      </c>
      <c r="PA480">
        <v>0</v>
      </c>
      <c r="PB480">
        <v>0</v>
      </c>
      <c r="PC480">
        <v>0</v>
      </c>
      <c r="PD480">
        <v>0</v>
      </c>
      <c r="PE480">
        <v>0</v>
      </c>
      <c r="PF480">
        <v>0</v>
      </c>
      <c r="PG480">
        <v>0</v>
      </c>
      <c r="PH480">
        <v>0</v>
      </c>
      <c r="PI480">
        <v>0</v>
      </c>
      <c r="PJ480">
        <v>0</v>
      </c>
      <c r="PK480">
        <v>0</v>
      </c>
      <c r="PL480">
        <v>0</v>
      </c>
      <c r="PM480">
        <v>0</v>
      </c>
      <c r="PN480">
        <v>0</v>
      </c>
      <c r="PO480">
        <v>0</v>
      </c>
      <c r="PP480">
        <v>0</v>
      </c>
      <c r="PQ480">
        <v>0</v>
      </c>
      <c r="PR480">
        <v>0</v>
      </c>
      <c r="PS480">
        <v>0</v>
      </c>
      <c r="PT480">
        <v>1</v>
      </c>
      <c r="PU480">
        <v>0</v>
      </c>
      <c r="PV480">
        <v>0</v>
      </c>
      <c r="PW480">
        <v>0</v>
      </c>
      <c r="PX480">
        <v>0</v>
      </c>
      <c r="PY480">
        <v>0</v>
      </c>
      <c r="PZ480">
        <v>0</v>
      </c>
      <c r="QA480">
        <v>0</v>
      </c>
      <c r="QB480">
        <v>0</v>
      </c>
      <c r="QC480">
        <v>0</v>
      </c>
      <c r="QD480">
        <v>0</v>
      </c>
      <c r="QE480">
        <v>0</v>
      </c>
      <c r="QF480">
        <v>0</v>
      </c>
      <c r="QG480">
        <v>1</v>
      </c>
      <c r="QH480">
        <v>0</v>
      </c>
      <c r="QI480">
        <v>0</v>
      </c>
      <c r="QJ480">
        <v>0</v>
      </c>
      <c r="QK480">
        <v>0</v>
      </c>
      <c r="QL480">
        <v>0</v>
      </c>
      <c r="QM480">
        <v>0</v>
      </c>
      <c r="QN480">
        <v>0</v>
      </c>
      <c r="QO480">
        <v>0</v>
      </c>
      <c r="QP480">
        <v>0</v>
      </c>
      <c r="QQ480">
        <v>0</v>
      </c>
      <c r="QR480">
        <v>0</v>
      </c>
      <c r="QS480">
        <v>0</v>
      </c>
      <c r="QT480">
        <v>0</v>
      </c>
      <c r="QU480">
        <v>0</v>
      </c>
      <c r="QV480">
        <v>0</v>
      </c>
      <c r="QW480">
        <v>1</v>
      </c>
      <c r="QX480">
        <v>0</v>
      </c>
      <c r="QY480">
        <v>0</v>
      </c>
    </row>
    <row r="481" spans="1:467" x14ac:dyDescent="0.4">
      <c r="A481" t="str">
        <f>"9784047370968"</f>
        <v>9784047370968</v>
      </c>
      <c r="B481" t="str">
        <f>"4047370967"</f>
        <v>4047370967</v>
      </c>
      <c r="C481" t="s">
        <v>2793</v>
      </c>
      <c r="D481" t="s">
        <v>2794</v>
      </c>
      <c r="E481" t="s">
        <v>597</v>
      </c>
      <c r="F481" t="s">
        <v>2795</v>
      </c>
      <c r="G481" t="str">
        <f>"0979"</f>
        <v>0979</v>
      </c>
      <c r="H481" t="s">
        <v>481</v>
      </c>
      <c r="I481" t="s">
        <v>1856</v>
      </c>
      <c r="J481" t="s">
        <v>1856</v>
      </c>
      <c r="L481" s="1">
        <v>44722</v>
      </c>
      <c r="M481">
        <v>740</v>
      </c>
      <c r="N481">
        <v>7</v>
      </c>
      <c r="O481">
        <v>7</v>
      </c>
      <c r="P481">
        <v>7</v>
      </c>
      <c r="Q481">
        <v>7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1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1</v>
      </c>
      <c r="CI481">
        <v>1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1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0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0</v>
      </c>
      <c r="NL481">
        <v>0</v>
      </c>
      <c r="NM481">
        <v>0</v>
      </c>
      <c r="NN481">
        <v>0</v>
      </c>
      <c r="NO481">
        <v>0</v>
      </c>
      <c r="NP481">
        <v>0</v>
      </c>
      <c r="NQ481">
        <v>0</v>
      </c>
      <c r="NR481">
        <v>0</v>
      </c>
      <c r="NS481">
        <v>1</v>
      </c>
      <c r="NT481">
        <v>0</v>
      </c>
      <c r="NU481">
        <v>0</v>
      </c>
      <c r="NV481">
        <v>0</v>
      </c>
      <c r="NW481">
        <v>0</v>
      </c>
      <c r="NX481">
        <v>0</v>
      </c>
      <c r="NY481">
        <v>1</v>
      </c>
      <c r="NZ481">
        <v>0</v>
      </c>
      <c r="OA481">
        <v>0</v>
      </c>
      <c r="OB481">
        <v>0</v>
      </c>
      <c r="OC481">
        <v>0</v>
      </c>
      <c r="OD481">
        <v>0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0</v>
      </c>
      <c r="PH481">
        <v>0</v>
      </c>
      <c r="PI481">
        <v>0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</v>
      </c>
      <c r="PQ481">
        <v>0</v>
      </c>
      <c r="PR481">
        <v>0</v>
      </c>
      <c r="PS481">
        <v>0</v>
      </c>
      <c r="PT481">
        <v>0</v>
      </c>
      <c r="PU481">
        <v>0</v>
      </c>
      <c r="PV481">
        <v>0</v>
      </c>
      <c r="PW481">
        <v>0</v>
      </c>
      <c r="PX481">
        <v>0</v>
      </c>
      <c r="PY481">
        <v>0</v>
      </c>
      <c r="PZ481">
        <v>0</v>
      </c>
      <c r="QA481">
        <v>0</v>
      </c>
      <c r="QB481">
        <v>0</v>
      </c>
      <c r="QC481">
        <v>0</v>
      </c>
      <c r="QD481">
        <v>0</v>
      </c>
      <c r="QE481">
        <v>0</v>
      </c>
      <c r="QF481">
        <v>0</v>
      </c>
      <c r="QG481">
        <v>0</v>
      </c>
      <c r="QH481">
        <v>0</v>
      </c>
      <c r="QI481">
        <v>0</v>
      </c>
      <c r="QJ481">
        <v>0</v>
      </c>
      <c r="QK481">
        <v>0</v>
      </c>
      <c r="QL481">
        <v>0</v>
      </c>
      <c r="QM481">
        <v>0</v>
      </c>
      <c r="QN481">
        <v>0</v>
      </c>
      <c r="QO481">
        <v>0</v>
      </c>
      <c r="QP481">
        <v>0</v>
      </c>
      <c r="QQ481">
        <v>0</v>
      </c>
      <c r="QR481">
        <v>0</v>
      </c>
      <c r="QS481">
        <v>0</v>
      </c>
      <c r="QT481">
        <v>0</v>
      </c>
      <c r="QU481">
        <v>0</v>
      </c>
      <c r="QV481">
        <v>0</v>
      </c>
      <c r="QW481">
        <v>0</v>
      </c>
      <c r="QX481">
        <v>0</v>
      </c>
      <c r="QY481">
        <v>0</v>
      </c>
    </row>
    <row r="482" spans="1:467" hidden="1" x14ac:dyDescent="0.4">
      <c r="A482" t="str">
        <f>"9784560094686"</f>
        <v>9784560094686</v>
      </c>
      <c r="B482" t="str">
        <f>"4560094683"</f>
        <v>4560094683</v>
      </c>
      <c r="C482" t="s">
        <v>2796</v>
      </c>
      <c r="D482" t="s">
        <v>2797</v>
      </c>
      <c r="E482" t="s">
        <v>839</v>
      </c>
      <c r="G482" t="str">
        <f>"0097"</f>
        <v>0097</v>
      </c>
      <c r="H482" t="s">
        <v>481</v>
      </c>
      <c r="I482" t="s">
        <v>1893</v>
      </c>
      <c r="J482" t="s">
        <v>564</v>
      </c>
      <c r="L482" s="1">
        <v>44903</v>
      </c>
      <c r="M482">
        <v>2900</v>
      </c>
      <c r="N482">
        <v>6</v>
      </c>
      <c r="O482">
        <v>6</v>
      </c>
      <c r="P482">
        <v>6</v>
      </c>
      <c r="Q482">
        <v>6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1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1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1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1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0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0</v>
      </c>
      <c r="NL482">
        <v>0</v>
      </c>
      <c r="NM482">
        <v>0</v>
      </c>
      <c r="NN482">
        <v>0</v>
      </c>
      <c r="NO482">
        <v>0</v>
      </c>
      <c r="NP482">
        <v>0</v>
      </c>
      <c r="NQ482">
        <v>0</v>
      </c>
      <c r="NR482">
        <v>0</v>
      </c>
      <c r="NS482">
        <v>0</v>
      </c>
      <c r="NT482">
        <v>0</v>
      </c>
      <c r="NU482">
        <v>0</v>
      </c>
      <c r="NV482">
        <v>0</v>
      </c>
      <c r="NW482">
        <v>0</v>
      </c>
      <c r="NX482">
        <v>0</v>
      </c>
      <c r="NY482">
        <v>0</v>
      </c>
      <c r="NZ482">
        <v>0</v>
      </c>
      <c r="OA482">
        <v>0</v>
      </c>
      <c r="OB482">
        <v>0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0</v>
      </c>
      <c r="PB482">
        <v>0</v>
      </c>
      <c r="PC482">
        <v>0</v>
      </c>
      <c r="PD482">
        <v>0</v>
      </c>
      <c r="PE482">
        <v>0</v>
      </c>
      <c r="PF482">
        <v>0</v>
      </c>
      <c r="PG482">
        <v>0</v>
      </c>
      <c r="PH482">
        <v>0</v>
      </c>
      <c r="PI482">
        <v>0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0</v>
      </c>
      <c r="PQ482">
        <v>0</v>
      </c>
      <c r="PR482">
        <v>0</v>
      </c>
      <c r="PS482">
        <v>0</v>
      </c>
      <c r="PT482">
        <v>1</v>
      </c>
      <c r="PU482">
        <v>0</v>
      </c>
      <c r="PV482">
        <v>0</v>
      </c>
      <c r="PW482">
        <v>0</v>
      </c>
      <c r="PX482">
        <v>0</v>
      </c>
      <c r="PY482">
        <v>0</v>
      </c>
      <c r="PZ482">
        <v>0</v>
      </c>
      <c r="QA482">
        <v>0</v>
      </c>
      <c r="QB482">
        <v>0</v>
      </c>
      <c r="QC482">
        <v>0</v>
      </c>
      <c r="QD482">
        <v>0</v>
      </c>
      <c r="QE482">
        <v>0</v>
      </c>
      <c r="QF482">
        <v>0</v>
      </c>
      <c r="QG482">
        <v>0</v>
      </c>
      <c r="QH482">
        <v>0</v>
      </c>
      <c r="QI482">
        <v>0</v>
      </c>
      <c r="QJ482">
        <v>0</v>
      </c>
      <c r="QK482">
        <v>0</v>
      </c>
      <c r="QL482">
        <v>0</v>
      </c>
      <c r="QM482">
        <v>0</v>
      </c>
      <c r="QN482">
        <v>0</v>
      </c>
      <c r="QO482">
        <v>0</v>
      </c>
      <c r="QP482">
        <v>0</v>
      </c>
      <c r="QQ482">
        <v>0</v>
      </c>
      <c r="QR482">
        <v>0</v>
      </c>
      <c r="QS482">
        <v>0</v>
      </c>
      <c r="QT482">
        <v>0</v>
      </c>
      <c r="QU482">
        <v>0</v>
      </c>
      <c r="QV482">
        <v>0</v>
      </c>
      <c r="QW482">
        <v>0</v>
      </c>
      <c r="QX482">
        <v>0</v>
      </c>
      <c r="QY482">
        <v>0</v>
      </c>
    </row>
    <row r="483" spans="1:467" x14ac:dyDescent="0.4">
      <c r="A483" t="str">
        <f>"9784065302590"</f>
        <v>9784065302590</v>
      </c>
      <c r="B483" t="str">
        <f>"4065302595"</f>
        <v>4065302595</v>
      </c>
      <c r="C483" t="s">
        <v>2798</v>
      </c>
      <c r="D483" t="s">
        <v>2799</v>
      </c>
      <c r="E483" t="s">
        <v>548</v>
      </c>
      <c r="F483" t="s">
        <v>1947</v>
      </c>
      <c r="G483" t="str">
        <f>"9979"</f>
        <v>9979</v>
      </c>
      <c r="H483" t="s">
        <v>1855</v>
      </c>
      <c r="I483" t="s">
        <v>1856</v>
      </c>
      <c r="J483" t="s">
        <v>1856</v>
      </c>
      <c r="L483" s="1">
        <v>44949</v>
      </c>
      <c r="M483">
        <v>680</v>
      </c>
      <c r="N483">
        <v>6</v>
      </c>
      <c r="O483">
        <v>6</v>
      </c>
      <c r="P483">
        <v>6</v>
      </c>
      <c r="Q483">
        <v>6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1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1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1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1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1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0</v>
      </c>
      <c r="NA483">
        <v>0</v>
      </c>
      <c r="NB483">
        <v>0</v>
      </c>
      <c r="NC483">
        <v>0</v>
      </c>
      <c r="ND483">
        <v>0</v>
      </c>
      <c r="NE483">
        <v>0</v>
      </c>
      <c r="NF483">
        <v>0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0</v>
      </c>
      <c r="NM483">
        <v>0</v>
      </c>
      <c r="NN483">
        <v>0</v>
      </c>
      <c r="NO483">
        <v>0</v>
      </c>
      <c r="NP483">
        <v>0</v>
      </c>
      <c r="NQ483">
        <v>0</v>
      </c>
      <c r="NR483">
        <v>0</v>
      </c>
      <c r="NS483">
        <v>0</v>
      </c>
      <c r="NT483">
        <v>0</v>
      </c>
      <c r="NU483">
        <v>0</v>
      </c>
      <c r="NV483">
        <v>0</v>
      </c>
      <c r="NW483">
        <v>0</v>
      </c>
      <c r="NX483">
        <v>0</v>
      </c>
      <c r="NY483">
        <v>0</v>
      </c>
      <c r="NZ483">
        <v>0</v>
      </c>
      <c r="OA483">
        <v>0</v>
      </c>
      <c r="OB483">
        <v>0</v>
      </c>
      <c r="OC483">
        <v>0</v>
      </c>
      <c r="OD483">
        <v>0</v>
      </c>
      <c r="OE483">
        <v>0</v>
      </c>
      <c r="OF483">
        <v>0</v>
      </c>
      <c r="OG483">
        <v>0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1</v>
      </c>
      <c r="PB483">
        <v>0</v>
      </c>
      <c r="PC483">
        <v>0</v>
      </c>
      <c r="PD483">
        <v>0</v>
      </c>
      <c r="PE483">
        <v>0</v>
      </c>
      <c r="PF483">
        <v>0</v>
      </c>
      <c r="PG483">
        <v>0</v>
      </c>
      <c r="PH483">
        <v>0</v>
      </c>
      <c r="PI483">
        <v>0</v>
      </c>
      <c r="PJ483">
        <v>0</v>
      </c>
      <c r="PK483">
        <v>0</v>
      </c>
      <c r="PL483">
        <v>0</v>
      </c>
      <c r="PM483">
        <v>0</v>
      </c>
      <c r="PN483">
        <v>0</v>
      </c>
      <c r="PO483">
        <v>0</v>
      </c>
      <c r="PP483">
        <v>0</v>
      </c>
      <c r="PQ483">
        <v>0</v>
      </c>
      <c r="PR483">
        <v>0</v>
      </c>
      <c r="PS483">
        <v>0</v>
      </c>
      <c r="PT483">
        <v>0</v>
      </c>
      <c r="PU483">
        <v>0</v>
      </c>
      <c r="PV483">
        <v>0</v>
      </c>
      <c r="PW483">
        <v>0</v>
      </c>
      <c r="PX483">
        <v>0</v>
      </c>
      <c r="PY483">
        <v>0</v>
      </c>
      <c r="PZ483">
        <v>0</v>
      </c>
      <c r="QA483">
        <v>0</v>
      </c>
      <c r="QB483">
        <v>0</v>
      </c>
      <c r="QC483">
        <v>0</v>
      </c>
      <c r="QD483">
        <v>0</v>
      </c>
      <c r="QE483">
        <v>0</v>
      </c>
      <c r="QF483">
        <v>0</v>
      </c>
      <c r="QG483">
        <v>0</v>
      </c>
      <c r="QH483">
        <v>0</v>
      </c>
      <c r="QI483">
        <v>0</v>
      </c>
      <c r="QJ483">
        <v>0</v>
      </c>
      <c r="QK483">
        <v>0</v>
      </c>
      <c r="QL483">
        <v>0</v>
      </c>
      <c r="QM483">
        <v>0</v>
      </c>
      <c r="QN483">
        <v>0</v>
      </c>
      <c r="QO483">
        <v>0</v>
      </c>
      <c r="QP483">
        <v>0</v>
      </c>
      <c r="QQ483">
        <v>0</v>
      </c>
      <c r="QR483">
        <v>0</v>
      </c>
      <c r="QS483">
        <v>0</v>
      </c>
      <c r="QT483">
        <v>0</v>
      </c>
      <c r="QU483">
        <v>0</v>
      </c>
      <c r="QV483">
        <v>0</v>
      </c>
      <c r="QW483">
        <v>0</v>
      </c>
      <c r="QX483">
        <v>0</v>
      </c>
      <c r="QY483">
        <v>0</v>
      </c>
    </row>
    <row r="484" spans="1:467" x14ac:dyDescent="0.4">
      <c r="A484" t="str">
        <f>"9784088834030"</f>
        <v>9784088834030</v>
      </c>
      <c r="B484" t="str">
        <f>"4088834038"</f>
        <v>4088834038</v>
      </c>
      <c r="C484" t="s">
        <v>2800</v>
      </c>
      <c r="D484" t="s">
        <v>2801</v>
      </c>
      <c r="E484" t="s">
        <v>536</v>
      </c>
      <c r="F484" t="s">
        <v>1854</v>
      </c>
      <c r="G484" t="str">
        <f>"9979"</f>
        <v>9979</v>
      </c>
      <c r="H484" t="s">
        <v>1855</v>
      </c>
      <c r="I484" t="s">
        <v>1856</v>
      </c>
      <c r="J484" t="s">
        <v>1856</v>
      </c>
      <c r="L484" s="1">
        <v>44897</v>
      </c>
      <c r="M484">
        <v>480</v>
      </c>
      <c r="N484">
        <v>6</v>
      </c>
      <c r="O484">
        <v>6</v>
      </c>
      <c r="P484">
        <v>6</v>
      </c>
      <c r="Q484">
        <v>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1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1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1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1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0</v>
      </c>
      <c r="NL484">
        <v>0</v>
      </c>
      <c r="NM484">
        <v>0</v>
      </c>
      <c r="NN484">
        <v>0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0</v>
      </c>
      <c r="NV484">
        <v>0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C484">
        <v>0</v>
      </c>
      <c r="OD484">
        <v>0</v>
      </c>
      <c r="OE484">
        <v>0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1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0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</v>
      </c>
      <c r="PQ484">
        <v>0</v>
      </c>
      <c r="PR484">
        <v>0</v>
      </c>
      <c r="PS484">
        <v>0</v>
      </c>
      <c r="PT484">
        <v>0</v>
      </c>
      <c r="PU484">
        <v>0</v>
      </c>
      <c r="PV484">
        <v>0</v>
      </c>
      <c r="PW484">
        <v>0</v>
      </c>
      <c r="PX484">
        <v>0</v>
      </c>
      <c r="PY484">
        <v>0</v>
      </c>
      <c r="PZ484">
        <v>0</v>
      </c>
      <c r="QA484">
        <v>0</v>
      </c>
      <c r="QB484">
        <v>0</v>
      </c>
      <c r="QC484">
        <v>0</v>
      </c>
      <c r="QD484">
        <v>0</v>
      </c>
      <c r="QE484">
        <v>0</v>
      </c>
      <c r="QF484">
        <v>0</v>
      </c>
      <c r="QG484">
        <v>0</v>
      </c>
      <c r="QH484">
        <v>0</v>
      </c>
      <c r="QI484">
        <v>0</v>
      </c>
      <c r="QJ484">
        <v>0</v>
      </c>
      <c r="QK484">
        <v>0</v>
      </c>
      <c r="QL484">
        <v>0</v>
      </c>
      <c r="QM484">
        <v>0</v>
      </c>
      <c r="QN484">
        <v>0</v>
      </c>
      <c r="QO484">
        <v>0</v>
      </c>
      <c r="QP484">
        <v>0</v>
      </c>
      <c r="QQ484">
        <v>0</v>
      </c>
      <c r="QR484">
        <v>0</v>
      </c>
      <c r="QS484">
        <v>0</v>
      </c>
      <c r="QT484">
        <v>0</v>
      </c>
      <c r="QU484">
        <v>0</v>
      </c>
      <c r="QV484">
        <v>0</v>
      </c>
      <c r="QW484">
        <v>0</v>
      </c>
      <c r="QX484">
        <v>0</v>
      </c>
      <c r="QY484">
        <v>0</v>
      </c>
    </row>
    <row r="485" spans="1:467" hidden="1" x14ac:dyDescent="0.4">
      <c r="A485" t="str">
        <f>"9784771036765"</f>
        <v>9784771036765</v>
      </c>
      <c r="B485" t="str">
        <f>"4771036764"</f>
        <v>4771036764</v>
      </c>
      <c r="C485" t="s">
        <v>2802</v>
      </c>
      <c r="D485" t="s">
        <v>2803</v>
      </c>
      <c r="E485" t="s">
        <v>2804</v>
      </c>
      <c r="G485" t="str">
        <f>"0074"</f>
        <v>0074</v>
      </c>
      <c r="H485" t="s">
        <v>481</v>
      </c>
      <c r="I485" t="s">
        <v>1893</v>
      </c>
      <c r="J485" t="s">
        <v>1393</v>
      </c>
      <c r="L485" s="1">
        <v>44902</v>
      </c>
      <c r="M485">
        <v>2000</v>
      </c>
      <c r="N485">
        <v>6</v>
      </c>
      <c r="O485">
        <v>6</v>
      </c>
      <c r="P485">
        <v>6</v>
      </c>
      <c r="Q485">
        <v>6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1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1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1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1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1</v>
      </c>
      <c r="LX485">
        <v>0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0</v>
      </c>
      <c r="NL485">
        <v>0</v>
      </c>
      <c r="NM485">
        <v>0</v>
      </c>
      <c r="NN485">
        <v>0</v>
      </c>
      <c r="NO485">
        <v>0</v>
      </c>
      <c r="NP485">
        <v>0</v>
      </c>
      <c r="NQ485">
        <v>0</v>
      </c>
      <c r="NR485">
        <v>0</v>
      </c>
      <c r="NS485">
        <v>0</v>
      </c>
      <c r="NT485">
        <v>0</v>
      </c>
      <c r="NU485">
        <v>0</v>
      </c>
      <c r="NV485">
        <v>0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C485">
        <v>0</v>
      </c>
      <c r="OD485">
        <v>0</v>
      </c>
      <c r="OE485">
        <v>0</v>
      </c>
      <c r="OF485">
        <v>0</v>
      </c>
      <c r="OG485">
        <v>0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0</v>
      </c>
      <c r="OW485">
        <v>0</v>
      </c>
      <c r="OX485">
        <v>0</v>
      </c>
      <c r="OY485">
        <v>0</v>
      </c>
      <c r="OZ485">
        <v>0</v>
      </c>
      <c r="PA485">
        <v>0</v>
      </c>
      <c r="PB485">
        <v>0</v>
      </c>
      <c r="PC485">
        <v>0</v>
      </c>
      <c r="PD485">
        <v>0</v>
      </c>
      <c r="PE485">
        <v>0</v>
      </c>
      <c r="PF485">
        <v>0</v>
      </c>
      <c r="PG485">
        <v>0</v>
      </c>
      <c r="PH485">
        <v>0</v>
      </c>
      <c r="PI485">
        <v>0</v>
      </c>
      <c r="PJ485">
        <v>0</v>
      </c>
      <c r="PK485">
        <v>0</v>
      </c>
      <c r="PL485">
        <v>0</v>
      </c>
      <c r="PM485">
        <v>0</v>
      </c>
      <c r="PN485">
        <v>0</v>
      </c>
      <c r="PO485">
        <v>0</v>
      </c>
      <c r="PP485">
        <v>0</v>
      </c>
      <c r="PQ485">
        <v>0</v>
      </c>
      <c r="PR485">
        <v>0</v>
      </c>
      <c r="PS485">
        <v>0</v>
      </c>
      <c r="PT485">
        <v>0</v>
      </c>
      <c r="PU485">
        <v>0</v>
      </c>
      <c r="PV485">
        <v>0</v>
      </c>
      <c r="PW485">
        <v>0</v>
      </c>
      <c r="PX485">
        <v>0</v>
      </c>
      <c r="PY485">
        <v>0</v>
      </c>
      <c r="PZ485">
        <v>0</v>
      </c>
      <c r="QA485">
        <v>0</v>
      </c>
      <c r="QB485">
        <v>0</v>
      </c>
      <c r="QC485">
        <v>0</v>
      </c>
      <c r="QD485">
        <v>0</v>
      </c>
      <c r="QE485">
        <v>0</v>
      </c>
      <c r="QF485">
        <v>0</v>
      </c>
      <c r="QG485">
        <v>0</v>
      </c>
      <c r="QH485">
        <v>0</v>
      </c>
      <c r="QI485">
        <v>0</v>
      </c>
      <c r="QJ485">
        <v>0</v>
      </c>
      <c r="QK485">
        <v>0</v>
      </c>
      <c r="QL485">
        <v>0</v>
      </c>
      <c r="QM485">
        <v>0</v>
      </c>
      <c r="QN485">
        <v>0</v>
      </c>
      <c r="QO485">
        <v>0</v>
      </c>
      <c r="QP485">
        <v>0</v>
      </c>
      <c r="QQ485">
        <v>0</v>
      </c>
      <c r="QR485">
        <v>0</v>
      </c>
      <c r="QS485">
        <v>0</v>
      </c>
      <c r="QT485">
        <v>0</v>
      </c>
      <c r="QU485">
        <v>0</v>
      </c>
      <c r="QV485">
        <v>0</v>
      </c>
      <c r="QW485">
        <v>0</v>
      </c>
      <c r="QX485">
        <v>0</v>
      </c>
      <c r="QY485">
        <v>0</v>
      </c>
    </row>
    <row r="486" spans="1:467" hidden="1" x14ac:dyDescent="0.4">
      <c r="A486" t="str">
        <f>"9784022518569"</f>
        <v>9784022518569</v>
      </c>
      <c r="B486" t="str">
        <f>"4022518561"</f>
        <v>4022518561</v>
      </c>
      <c r="C486" t="s">
        <v>2805</v>
      </c>
      <c r="D486" t="s">
        <v>2806</v>
      </c>
      <c r="E486" t="s">
        <v>498</v>
      </c>
      <c r="G486" t="str">
        <f>"0095"</f>
        <v>0095</v>
      </c>
      <c r="H486" t="s">
        <v>481</v>
      </c>
      <c r="I486" t="s">
        <v>1893</v>
      </c>
      <c r="J486" t="s">
        <v>509</v>
      </c>
      <c r="L486" s="1">
        <v>44778</v>
      </c>
      <c r="M486">
        <v>1800</v>
      </c>
      <c r="N486">
        <v>6</v>
      </c>
      <c r="O486">
        <v>6</v>
      </c>
      <c r="P486">
        <v>6</v>
      </c>
      <c r="Q486">
        <v>6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1</v>
      </c>
      <c r="FU486">
        <v>0</v>
      </c>
      <c r="FV486">
        <v>1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1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1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1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1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0</v>
      </c>
      <c r="MR486">
        <v>0</v>
      </c>
      <c r="MS486">
        <v>0</v>
      </c>
      <c r="MT486">
        <v>0</v>
      </c>
      <c r="MU486">
        <v>0</v>
      </c>
      <c r="MV486">
        <v>0</v>
      </c>
      <c r="MW486">
        <v>0</v>
      </c>
      <c r="MX486">
        <v>0</v>
      </c>
      <c r="MY486">
        <v>0</v>
      </c>
      <c r="MZ486">
        <v>0</v>
      </c>
      <c r="NA486">
        <v>0</v>
      </c>
      <c r="NB486">
        <v>0</v>
      </c>
      <c r="NC486">
        <v>0</v>
      </c>
      <c r="ND486">
        <v>0</v>
      </c>
      <c r="NE486">
        <v>0</v>
      </c>
      <c r="NF486">
        <v>0</v>
      </c>
      <c r="NG486">
        <v>0</v>
      </c>
      <c r="NH486">
        <v>0</v>
      </c>
      <c r="NI486">
        <v>0</v>
      </c>
      <c r="NJ486">
        <v>0</v>
      </c>
      <c r="NK486">
        <v>0</v>
      </c>
      <c r="NL486">
        <v>0</v>
      </c>
      <c r="NM486">
        <v>0</v>
      </c>
      <c r="NN486">
        <v>0</v>
      </c>
      <c r="NO486">
        <v>0</v>
      </c>
      <c r="NP486">
        <v>0</v>
      </c>
      <c r="NQ486">
        <v>0</v>
      </c>
      <c r="NR486">
        <v>0</v>
      </c>
      <c r="NS486">
        <v>0</v>
      </c>
      <c r="NT486">
        <v>0</v>
      </c>
      <c r="NU486">
        <v>0</v>
      </c>
      <c r="NV486">
        <v>0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0</v>
      </c>
      <c r="OD486">
        <v>0</v>
      </c>
      <c r="OE486">
        <v>0</v>
      </c>
      <c r="OF486">
        <v>0</v>
      </c>
      <c r="OG486">
        <v>0</v>
      </c>
      <c r="OH486">
        <v>0</v>
      </c>
      <c r="OI486">
        <v>0</v>
      </c>
      <c r="OJ486">
        <v>0</v>
      </c>
      <c r="OK486">
        <v>0</v>
      </c>
      <c r="OL486">
        <v>0</v>
      </c>
      <c r="OM486">
        <v>0</v>
      </c>
      <c r="ON486">
        <v>0</v>
      </c>
      <c r="OO486">
        <v>0</v>
      </c>
      <c r="OP486">
        <v>0</v>
      </c>
      <c r="OQ486">
        <v>0</v>
      </c>
      <c r="OR486">
        <v>0</v>
      </c>
      <c r="OS486">
        <v>0</v>
      </c>
      <c r="OT486">
        <v>0</v>
      </c>
      <c r="OU486">
        <v>0</v>
      </c>
      <c r="OV486">
        <v>0</v>
      </c>
      <c r="OW486">
        <v>0</v>
      </c>
      <c r="OX486">
        <v>0</v>
      </c>
      <c r="OY486">
        <v>0</v>
      </c>
      <c r="OZ486">
        <v>0</v>
      </c>
      <c r="PA486">
        <v>0</v>
      </c>
      <c r="PB486">
        <v>0</v>
      </c>
      <c r="PC486">
        <v>0</v>
      </c>
      <c r="PD486">
        <v>0</v>
      </c>
      <c r="PE486">
        <v>0</v>
      </c>
      <c r="PF486">
        <v>0</v>
      </c>
      <c r="PG486">
        <v>0</v>
      </c>
      <c r="PH486">
        <v>0</v>
      </c>
      <c r="PI486">
        <v>0</v>
      </c>
      <c r="PJ486">
        <v>0</v>
      </c>
      <c r="PK486">
        <v>0</v>
      </c>
      <c r="PL486">
        <v>0</v>
      </c>
      <c r="PM486">
        <v>0</v>
      </c>
      <c r="PN486">
        <v>0</v>
      </c>
      <c r="PO486">
        <v>0</v>
      </c>
      <c r="PP486">
        <v>0</v>
      </c>
      <c r="PQ486">
        <v>0</v>
      </c>
      <c r="PR486">
        <v>0</v>
      </c>
      <c r="PS486">
        <v>0</v>
      </c>
      <c r="PT486">
        <v>0</v>
      </c>
      <c r="PU486">
        <v>0</v>
      </c>
      <c r="PV486">
        <v>0</v>
      </c>
      <c r="PW486">
        <v>0</v>
      </c>
      <c r="PX486">
        <v>0</v>
      </c>
      <c r="PY486">
        <v>0</v>
      </c>
      <c r="PZ486">
        <v>0</v>
      </c>
      <c r="QA486">
        <v>0</v>
      </c>
      <c r="QB486">
        <v>0</v>
      </c>
      <c r="QC486">
        <v>0</v>
      </c>
      <c r="QD486">
        <v>0</v>
      </c>
      <c r="QE486">
        <v>0</v>
      </c>
      <c r="QF486">
        <v>0</v>
      </c>
      <c r="QG486">
        <v>0</v>
      </c>
      <c r="QH486">
        <v>0</v>
      </c>
      <c r="QI486">
        <v>0</v>
      </c>
      <c r="QJ486">
        <v>0</v>
      </c>
      <c r="QK486">
        <v>0</v>
      </c>
      <c r="QL486">
        <v>0</v>
      </c>
      <c r="QM486">
        <v>0</v>
      </c>
      <c r="QN486">
        <v>0</v>
      </c>
      <c r="QO486">
        <v>0</v>
      </c>
      <c r="QP486">
        <v>0</v>
      </c>
      <c r="QQ486">
        <v>0</v>
      </c>
      <c r="QR486">
        <v>0</v>
      </c>
      <c r="QS486">
        <v>0</v>
      </c>
      <c r="QT486">
        <v>0</v>
      </c>
      <c r="QU486">
        <v>0</v>
      </c>
      <c r="QV486">
        <v>0</v>
      </c>
      <c r="QW486">
        <v>0</v>
      </c>
      <c r="QX486">
        <v>0</v>
      </c>
      <c r="QY486">
        <v>0</v>
      </c>
    </row>
    <row r="487" spans="1:467" x14ac:dyDescent="0.4">
      <c r="A487" t="str">
        <f>"9784088818283"</f>
        <v>9784088818283</v>
      </c>
      <c r="B487" t="str">
        <f>"4088818288"</f>
        <v>4088818288</v>
      </c>
      <c r="C487" t="s">
        <v>2807</v>
      </c>
      <c r="D487" t="s">
        <v>1869</v>
      </c>
      <c r="E487" t="s">
        <v>536</v>
      </c>
      <c r="F487" t="s">
        <v>1854</v>
      </c>
      <c r="G487" t="str">
        <f>"9979"</f>
        <v>9979</v>
      </c>
      <c r="H487" t="s">
        <v>1855</v>
      </c>
      <c r="I487" t="s">
        <v>1856</v>
      </c>
      <c r="J487" t="s">
        <v>1856</v>
      </c>
      <c r="L487" s="1">
        <v>43587</v>
      </c>
      <c r="M487">
        <v>440</v>
      </c>
      <c r="N487">
        <v>6</v>
      </c>
      <c r="O487">
        <v>5</v>
      </c>
      <c r="P487">
        <v>6</v>
      </c>
      <c r="Q487">
        <v>5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1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1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2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1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1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0</v>
      </c>
      <c r="NK487">
        <v>0</v>
      </c>
      <c r="NL487">
        <v>0</v>
      </c>
      <c r="NM487">
        <v>0</v>
      </c>
      <c r="NN487">
        <v>0</v>
      </c>
      <c r="NO487">
        <v>0</v>
      </c>
      <c r="NP487">
        <v>0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0</v>
      </c>
      <c r="NW487">
        <v>0</v>
      </c>
      <c r="NX487">
        <v>0</v>
      </c>
      <c r="NY487">
        <v>0</v>
      </c>
      <c r="NZ487">
        <v>0</v>
      </c>
      <c r="OA487">
        <v>0</v>
      </c>
      <c r="OB487">
        <v>0</v>
      </c>
      <c r="OC487">
        <v>0</v>
      </c>
      <c r="OD487">
        <v>0</v>
      </c>
      <c r="OE487">
        <v>0</v>
      </c>
      <c r="OF487">
        <v>0</v>
      </c>
      <c r="OG487">
        <v>0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0</v>
      </c>
      <c r="PL487">
        <v>0</v>
      </c>
      <c r="PM487">
        <v>0</v>
      </c>
      <c r="PN487">
        <v>0</v>
      </c>
      <c r="PO487">
        <v>0</v>
      </c>
      <c r="PP487">
        <v>0</v>
      </c>
      <c r="PQ487">
        <v>0</v>
      </c>
      <c r="PR487">
        <v>0</v>
      </c>
      <c r="PS487">
        <v>0</v>
      </c>
      <c r="PT487">
        <v>0</v>
      </c>
      <c r="PU487">
        <v>0</v>
      </c>
      <c r="PV487">
        <v>0</v>
      </c>
      <c r="PW487">
        <v>0</v>
      </c>
      <c r="PX487">
        <v>0</v>
      </c>
      <c r="PY487">
        <v>0</v>
      </c>
      <c r="PZ487">
        <v>0</v>
      </c>
      <c r="QA487">
        <v>0</v>
      </c>
      <c r="QB487">
        <v>0</v>
      </c>
      <c r="QC487">
        <v>0</v>
      </c>
      <c r="QD487">
        <v>0</v>
      </c>
      <c r="QE487">
        <v>0</v>
      </c>
      <c r="QF487">
        <v>0</v>
      </c>
      <c r="QG487">
        <v>0</v>
      </c>
      <c r="QH487">
        <v>0</v>
      </c>
      <c r="QI487">
        <v>0</v>
      </c>
      <c r="QJ487">
        <v>0</v>
      </c>
      <c r="QK487">
        <v>0</v>
      </c>
      <c r="QL487">
        <v>0</v>
      </c>
      <c r="QM487">
        <v>0</v>
      </c>
      <c r="QN487">
        <v>0</v>
      </c>
      <c r="QO487">
        <v>0</v>
      </c>
      <c r="QP487">
        <v>0</v>
      </c>
      <c r="QQ487">
        <v>0</v>
      </c>
      <c r="QR487">
        <v>0</v>
      </c>
      <c r="QS487">
        <v>0</v>
      </c>
      <c r="QT487">
        <v>0</v>
      </c>
      <c r="QU487">
        <v>0</v>
      </c>
      <c r="QV487">
        <v>0</v>
      </c>
      <c r="QW487">
        <v>0</v>
      </c>
      <c r="QX487">
        <v>0</v>
      </c>
      <c r="QY487">
        <v>0</v>
      </c>
    </row>
    <row r="488" spans="1:467" hidden="1" x14ac:dyDescent="0.4">
      <c r="A488" t="str">
        <f>"9784152099198"</f>
        <v>9784152099198</v>
      </c>
      <c r="B488" t="str">
        <f>"4152099194"</f>
        <v>4152099194</v>
      </c>
      <c r="C488" t="s">
        <v>2808</v>
      </c>
      <c r="D488" t="s">
        <v>2809</v>
      </c>
      <c r="E488" t="s">
        <v>963</v>
      </c>
      <c r="G488" t="str">
        <f>"0097"</f>
        <v>0097</v>
      </c>
      <c r="H488" t="s">
        <v>481</v>
      </c>
      <c r="I488" t="s">
        <v>1893</v>
      </c>
      <c r="J488" t="s">
        <v>564</v>
      </c>
      <c r="L488" s="1">
        <v>43896</v>
      </c>
      <c r="M488">
        <v>1900</v>
      </c>
      <c r="N488">
        <v>6</v>
      </c>
      <c r="O488">
        <v>6</v>
      </c>
      <c r="P488">
        <v>6</v>
      </c>
      <c r="Q488">
        <v>6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1</v>
      </c>
      <c r="CD488">
        <v>0</v>
      </c>
      <c r="CE488">
        <v>0</v>
      </c>
      <c r="CF488">
        <v>0</v>
      </c>
      <c r="CG488">
        <v>0</v>
      </c>
      <c r="CH488">
        <v>1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1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1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1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0</v>
      </c>
      <c r="NL488">
        <v>1</v>
      </c>
      <c r="NM488">
        <v>0</v>
      </c>
      <c r="NN488">
        <v>0</v>
      </c>
      <c r="NO488">
        <v>0</v>
      </c>
      <c r="NP488">
        <v>0</v>
      </c>
      <c r="NQ488">
        <v>0</v>
      </c>
      <c r="NR488">
        <v>0</v>
      </c>
      <c r="NS488">
        <v>0</v>
      </c>
      <c r="NT488">
        <v>0</v>
      </c>
      <c r="NU488">
        <v>0</v>
      </c>
      <c r="NV488">
        <v>0</v>
      </c>
      <c r="NW488">
        <v>0</v>
      </c>
      <c r="NX488">
        <v>0</v>
      </c>
      <c r="NY488">
        <v>0</v>
      </c>
      <c r="NZ488">
        <v>0</v>
      </c>
      <c r="OA488">
        <v>0</v>
      </c>
      <c r="OB488">
        <v>0</v>
      </c>
      <c r="OC488">
        <v>0</v>
      </c>
      <c r="OD488">
        <v>0</v>
      </c>
      <c r="OE488">
        <v>0</v>
      </c>
      <c r="OF488">
        <v>0</v>
      </c>
      <c r="OG488">
        <v>0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0</v>
      </c>
      <c r="PN488">
        <v>0</v>
      </c>
      <c r="PO488">
        <v>0</v>
      </c>
      <c r="PP488">
        <v>0</v>
      </c>
      <c r="PQ488">
        <v>0</v>
      </c>
      <c r="PR488">
        <v>0</v>
      </c>
      <c r="PS488">
        <v>0</v>
      </c>
      <c r="PT488">
        <v>0</v>
      </c>
      <c r="PU488">
        <v>0</v>
      </c>
      <c r="PV488">
        <v>0</v>
      </c>
      <c r="PW488">
        <v>0</v>
      </c>
      <c r="PX488">
        <v>0</v>
      </c>
      <c r="PY488">
        <v>0</v>
      </c>
      <c r="PZ488">
        <v>0</v>
      </c>
      <c r="QA488">
        <v>0</v>
      </c>
      <c r="QB488">
        <v>0</v>
      </c>
      <c r="QC488">
        <v>0</v>
      </c>
      <c r="QD488">
        <v>0</v>
      </c>
      <c r="QE488">
        <v>0</v>
      </c>
      <c r="QF488">
        <v>0</v>
      </c>
      <c r="QG488">
        <v>0</v>
      </c>
      <c r="QH488">
        <v>0</v>
      </c>
      <c r="QI488">
        <v>0</v>
      </c>
      <c r="QJ488">
        <v>0</v>
      </c>
      <c r="QK488">
        <v>0</v>
      </c>
      <c r="QL488">
        <v>0</v>
      </c>
      <c r="QM488">
        <v>0</v>
      </c>
      <c r="QN488">
        <v>0</v>
      </c>
      <c r="QO488">
        <v>0</v>
      </c>
      <c r="QP488">
        <v>0</v>
      </c>
      <c r="QQ488">
        <v>0</v>
      </c>
      <c r="QR488">
        <v>0</v>
      </c>
      <c r="QS488">
        <v>0</v>
      </c>
      <c r="QT488">
        <v>0</v>
      </c>
      <c r="QU488">
        <v>0</v>
      </c>
      <c r="QV488">
        <v>0</v>
      </c>
      <c r="QW488">
        <v>0</v>
      </c>
      <c r="QX488">
        <v>0</v>
      </c>
      <c r="QY488">
        <v>0</v>
      </c>
    </row>
    <row r="489" spans="1:467" hidden="1" x14ac:dyDescent="0.4">
      <c r="A489" t="str">
        <f>"9784845921430"</f>
        <v>9784845921430</v>
      </c>
      <c r="B489" t="str">
        <f>"484592143X"</f>
        <v>484592143X</v>
      </c>
      <c r="C489" t="s">
        <v>2810</v>
      </c>
      <c r="D489" t="s">
        <v>2811</v>
      </c>
      <c r="E489" t="s">
        <v>2812</v>
      </c>
      <c r="G489" t="str">
        <f>"0074"</f>
        <v>0074</v>
      </c>
      <c r="H489" t="s">
        <v>481</v>
      </c>
      <c r="I489" t="s">
        <v>1893</v>
      </c>
      <c r="J489" t="s">
        <v>1393</v>
      </c>
      <c r="L489" s="1">
        <v>44921</v>
      </c>
      <c r="M489">
        <v>2600</v>
      </c>
      <c r="N489">
        <v>6</v>
      </c>
      <c r="O489">
        <v>4</v>
      </c>
      <c r="P489">
        <v>6</v>
      </c>
      <c r="Q489">
        <v>4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1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2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1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2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0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0</v>
      </c>
      <c r="NF489">
        <v>0</v>
      </c>
      <c r="NG489">
        <v>0</v>
      </c>
      <c r="NH489">
        <v>0</v>
      </c>
      <c r="NI489">
        <v>0</v>
      </c>
      <c r="NJ489">
        <v>0</v>
      </c>
      <c r="NK489">
        <v>0</v>
      </c>
      <c r="NL489">
        <v>0</v>
      </c>
      <c r="NM489">
        <v>0</v>
      </c>
      <c r="NN489">
        <v>0</v>
      </c>
      <c r="NO489">
        <v>0</v>
      </c>
      <c r="NP489">
        <v>0</v>
      </c>
      <c r="NQ489">
        <v>0</v>
      </c>
      <c r="NR489">
        <v>0</v>
      </c>
      <c r="NS489">
        <v>0</v>
      </c>
      <c r="NT489">
        <v>0</v>
      </c>
      <c r="NU489">
        <v>0</v>
      </c>
      <c r="NV489">
        <v>0</v>
      </c>
      <c r="NW489">
        <v>0</v>
      </c>
      <c r="NX489">
        <v>0</v>
      </c>
      <c r="NY489">
        <v>0</v>
      </c>
      <c r="NZ489">
        <v>0</v>
      </c>
      <c r="OA489">
        <v>0</v>
      </c>
      <c r="OB489">
        <v>0</v>
      </c>
      <c r="OC489">
        <v>0</v>
      </c>
      <c r="OD489">
        <v>0</v>
      </c>
      <c r="OE489">
        <v>0</v>
      </c>
      <c r="OF489">
        <v>0</v>
      </c>
      <c r="OG489">
        <v>0</v>
      </c>
      <c r="OH489">
        <v>0</v>
      </c>
      <c r="OI489">
        <v>0</v>
      </c>
      <c r="OJ489">
        <v>0</v>
      </c>
      <c r="OK489">
        <v>0</v>
      </c>
      <c r="OL489">
        <v>0</v>
      </c>
      <c r="OM489">
        <v>0</v>
      </c>
      <c r="ON489">
        <v>0</v>
      </c>
      <c r="OO489">
        <v>0</v>
      </c>
      <c r="OP489">
        <v>0</v>
      </c>
      <c r="OQ489">
        <v>0</v>
      </c>
      <c r="OR489">
        <v>0</v>
      </c>
      <c r="OS489">
        <v>0</v>
      </c>
      <c r="OT489">
        <v>0</v>
      </c>
      <c r="OU489">
        <v>0</v>
      </c>
      <c r="OV489">
        <v>0</v>
      </c>
      <c r="OW489">
        <v>0</v>
      </c>
      <c r="OX489">
        <v>0</v>
      </c>
      <c r="OY489">
        <v>0</v>
      </c>
      <c r="OZ489">
        <v>0</v>
      </c>
      <c r="PA489">
        <v>0</v>
      </c>
      <c r="PB489">
        <v>0</v>
      </c>
      <c r="PC489">
        <v>0</v>
      </c>
      <c r="PD489">
        <v>0</v>
      </c>
      <c r="PE489">
        <v>0</v>
      </c>
      <c r="PF489">
        <v>0</v>
      </c>
      <c r="PG489">
        <v>0</v>
      </c>
      <c r="PH489">
        <v>0</v>
      </c>
      <c r="PI489">
        <v>0</v>
      </c>
      <c r="PJ489">
        <v>0</v>
      </c>
      <c r="PK489">
        <v>0</v>
      </c>
      <c r="PL489">
        <v>0</v>
      </c>
      <c r="PM489">
        <v>0</v>
      </c>
      <c r="PN489">
        <v>0</v>
      </c>
      <c r="PO489">
        <v>0</v>
      </c>
      <c r="PP489">
        <v>0</v>
      </c>
      <c r="PQ489">
        <v>0</v>
      </c>
      <c r="PR489">
        <v>0</v>
      </c>
      <c r="PS489">
        <v>0</v>
      </c>
      <c r="PT489">
        <v>0</v>
      </c>
      <c r="PU489">
        <v>0</v>
      </c>
      <c r="PV489">
        <v>0</v>
      </c>
      <c r="PW489">
        <v>0</v>
      </c>
      <c r="PX489">
        <v>0</v>
      </c>
      <c r="PY489">
        <v>0</v>
      </c>
      <c r="PZ489">
        <v>0</v>
      </c>
      <c r="QA489">
        <v>0</v>
      </c>
      <c r="QB489">
        <v>0</v>
      </c>
      <c r="QC489">
        <v>0</v>
      </c>
      <c r="QD489">
        <v>0</v>
      </c>
      <c r="QE489">
        <v>0</v>
      </c>
      <c r="QF489">
        <v>0</v>
      </c>
      <c r="QG489">
        <v>0</v>
      </c>
      <c r="QH489">
        <v>0</v>
      </c>
      <c r="QI489">
        <v>0</v>
      </c>
      <c r="QJ489">
        <v>0</v>
      </c>
      <c r="QK489">
        <v>0</v>
      </c>
      <c r="QL489">
        <v>0</v>
      </c>
      <c r="QM489">
        <v>0</v>
      </c>
      <c r="QN489">
        <v>0</v>
      </c>
      <c r="QO489">
        <v>0</v>
      </c>
      <c r="QP489">
        <v>0</v>
      </c>
      <c r="QQ489">
        <v>0</v>
      </c>
      <c r="QR489">
        <v>0</v>
      </c>
      <c r="QS489">
        <v>0</v>
      </c>
      <c r="QT489">
        <v>0</v>
      </c>
      <c r="QU489">
        <v>0</v>
      </c>
      <c r="QV489">
        <v>0</v>
      </c>
      <c r="QW489">
        <v>0</v>
      </c>
      <c r="QX489">
        <v>0</v>
      </c>
      <c r="QY489">
        <v>0</v>
      </c>
    </row>
    <row r="490" spans="1:467" x14ac:dyDescent="0.4">
      <c r="A490" t="str">
        <f>"9784065303344"</f>
        <v>9784065303344</v>
      </c>
      <c r="B490" t="str">
        <f>"4065303346"</f>
        <v>4065303346</v>
      </c>
      <c r="C490" t="s">
        <v>2813</v>
      </c>
      <c r="D490" t="s">
        <v>2814</v>
      </c>
      <c r="E490" t="s">
        <v>548</v>
      </c>
      <c r="F490" t="s">
        <v>1862</v>
      </c>
      <c r="G490" t="str">
        <f>"9979"</f>
        <v>9979</v>
      </c>
      <c r="H490" t="s">
        <v>1855</v>
      </c>
      <c r="I490" t="s">
        <v>1856</v>
      </c>
      <c r="J490" t="s">
        <v>1856</v>
      </c>
      <c r="L490" s="1">
        <v>44932</v>
      </c>
      <c r="M490">
        <v>480</v>
      </c>
      <c r="N490">
        <v>6</v>
      </c>
      <c r="O490">
        <v>5</v>
      </c>
      <c r="P490">
        <v>6</v>
      </c>
      <c r="Q490">
        <v>5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2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1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1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1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1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0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C490">
        <v>0</v>
      </c>
      <c r="OD490">
        <v>0</v>
      </c>
      <c r="OE490">
        <v>0</v>
      </c>
      <c r="OF490">
        <v>0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0</v>
      </c>
      <c r="PR490">
        <v>0</v>
      </c>
      <c r="PS490">
        <v>0</v>
      </c>
      <c r="PT490">
        <v>0</v>
      </c>
      <c r="PU490">
        <v>0</v>
      </c>
      <c r="PV490">
        <v>0</v>
      </c>
      <c r="PW490">
        <v>0</v>
      </c>
      <c r="PX490">
        <v>0</v>
      </c>
      <c r="PY490">
        <v>0</v>
      </c>
      <c r="PZ490">
        <v>0</v>
      </c>
      <c r="QA490">
        <v>0</v>
      </c>
      <c r="QB490">
        <v>0</v>
      </c>
      <c r="QC490">
        <v>0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</v>
      </c>
      <c r="QP490">
        <v>0</v>
      </c>
      <c r="QQ490">
        <v>0</v>
      </c>
      <c r="QR490">
        <v>0</v>
      </c>
      <c r="QS490">
        <v>0</v>
      </c>
      <c r="QT490">
        <v>0</v>
      </c>
      <c r="QU490">
        <v>0</v>
      </c>
      <c r="QV490">
        <v>0</v>
      </c>
      <c r="QW490">
        <v>0</v>
      </c>
      <c r="QX490">
        <v>0</v>
      </c>
      <c r="QY490">
        <v>0</v>
      </c>
    </row>
    <row r="491" spans="1:467" x14ac:dyDescent="0.4">
      <c r="A491" t="str">
        <f>"9784065303351"</f>
        <v>9784065303351</v>
      </c>
      <c r="B491" t="str">
        <f>"4065303354"</f>
        <v>4065303354</v>
      </c>
      <c r="C491" t="s">
        <v>2815</v>
      </c>
      <c r="D491" t="s">
        <v>1637</v>
      </c>
      <c r="E491" t="s">
        <v>548</v>
      </c>
      <c r="F491" t="s">
        <v>1862</v>
      </c>
      <c r="G491" t="str">
        <f>"9979"</f>
        <v>9979</v>
      </c>
      <c r="H491" t="s">
        <v>1855</v>
      </c>
      <c r="I491" t="s">
        <v>1856</v>
      </c>
      <c r="J491" t="s">
        <v>1856</v>
      </c>
      <c r="L491" s="1">
        <v>44932</v>
      </c>
      <c r="M491">
        <v>480</v>
      </c>
      <c r="N491">
        <v>6</v>
      </c>
      <c r="O491">
        <v>3</v>
      </c>
      <c r="P491">
        <v>6</v>
      </c>
      <c r="Q491">
        <v>3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3</v>
      </c>
      <c r="BC491">
        <v>0</v>
      </c>
      <c r="BD491">
        <v>0</v>
      </c>
      <c r="BE491">
        <v>0</v>
      </c>
      <c r="BF491">
        <v>0</v>
      </c>
      <c r="BG491">
        <v>1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2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0</v>
      </c>
      <c r="NL491">
        <v>0</v>
      </c>
      <c r="NM491">
        <v>0</v>
      </c>
      <c r="NN491">
        <v>0</v>
      </c>
      <c r="NO491">
        <v>0</v>
      </c>
      <c r="NP491">
        <v>0</v>
      </c>
      <c r="NQ491">
        <v>0</v>
      </c>
      <c r="NR491">
        <v>0</v>
      </c>
      <c r="NS491">
        <v>0</v>
      </c>
      <c r="NT491">
        <v>0</v>
      </c>
      <c r="NU491">
        <v>0</v>
      </c>
      <c r="NV491">
        <v>0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0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0</v>
      </c>
      <c r="PL491">
        <v>0</v>
      </c>
      <c r="PM491">
        <v>0</v>
      </c>
      <c r="PN491">
        <v>0</v>
      </c>
      <c r="PO491">
        <v>0</v>
      </c>
      <c r="PP491">
        <v>0</v>
      </c>
      <c r="PQ491">
        <v>0</v>
      </c>
      <c r="PR491">
        <v>0</v>
      </c>
      <c r="PS491">
        <v>0</v>
      </c>
      <c r="PT491">
        <v>0</v>
      </c>
      <c r="PU491">
        <v>0</v>
      </c>
      <c r="PV491">
        <v>0</v>
      </c>
      <c r="PW491">
        <v>0</v>
      </c>
      <c r="PX491">
        <v>0</v>
      </c>
      <c r="PY491">
        <v>0</v>
      </c>
      <c r="PZ491">
        <v>0</v>
      </c>
      <c r="QA491">
        <v>0</v>
      </c>
      <c r="QB491">
        <v>0</v>
      </c>
      <c r="QC491">
        <v>0</v>
      </c>
      <c r="QD491">
        <v>0</v>
      </c>
      <c r="QE491">
        <v>0</v>
      </c>
      <c r="QF491">
        <v>0</v>
      </c>
      <c r="QG491">
        <v>0</v>
      </c>
      <c r="QH491">
        <v>0</v>
      </c>
      <c r="QI491">
        <v>0</v>
      </c>
      <c r="QJ491">
        <v>0</v>
      </c>
      <c r="QK491">
        <v>0</v>
      </c>
      <c r="QL491">
        <v>0</v>
      </c>
      <c r="QM491">
        <v>0</v>
      </c>
      <c r="QN491">
        <v>0</v>
      </c>
      <c r="QO491">
        <v>0</v>
      </c>
      <c r="QP491">
        <v>0</v>
      </c>
      <c r="QQ491">
        <v>0</v>
      </c>
      <c r="QR491">
        <v>0</v>
      </c>
      <c r="QS491">
        <v>0</v>
      </c>
      <c r="QT491">
        <v>0</v>
      </c>
      <c r="QU491">
        <v>0</v>
      </c>
      <c r="QV491">
        <v>0</v>
      </c>
      <c r="QW491">
        <v>0</v>
      </c>
      <c r="QX491">
        <v>0</v>
      </c>
      <c r="QY491">
        <v>0</v>
      </c>
    </row>
    <row r="492" spans="1:467" hidden="1" x14ac:dyDescent="0.4">
      <c r="A492" t="str">
        <f>"9784533151668"</f>
        <v>9784533151668</v>
      </c>
      <c r="B492" t="str">
        <f>"4533151663"</f>
        <v>4533151663</v>
      </c>
      <c r="C492" t="s">
        <v>2816</v>
      </c>
      <c r="E492" t="s">
        <v>2312</v>
      </c>
      <c r="F492" t="s">
        <v>2313</v>
      </c>
      <c r="G492" t="str">
        <f>"9426"</f>
        <v>9426</v>
      </c>
      <c r="H492" t="s">
        <v>1855</v>
      </c>
      <c r="I492" t="s">
        <v>1884</v>
      </c>
      <c r="J492" t="s">
        <v>2110</v>
      </c>
      <c r="L492" s="1">
        <v>44870</v>
      </c>
      <c r="M492">
        <v>1000</v>
      </c>
      <c r="N492">
        <v>6</v>
      </c>
      <c r="O492">
        <v>5</v>
      </c>
      <c r="P492">
        <v>6</v>
      </c>
      <c r="Q492">
        <v>5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1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2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1</v>
      </c>
      <c r="JN492">
        <v>0</v>
      </c>
      <c r="JO492">
        <v>0</v>
      </c>
      <c r="JP492">
        <v>0</v>
      </c>
      <c r="JQ492">
        <v>1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1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0</v>
      </c>
      <c r="ML492">
        <v>0</v>
      </c>
      <c r="MM492">
        <v>0</v>
      </c>
      <c r="MN492">
        <v>0</v>
      </c>
      <c r="MO492">
        <v>0</v>
      </c>
      <c r="MP492">
        <v>0</v>
      </c>
      <c r="MQ492">
        <v>0</v>
      </c>
      <c r="MR492">
        <v>0</v>
      </c>
      <c r="MS492">
        <v>0</v>
      </c>
      <c r="MT492">
        <v>0</v>
      </c>
      <c r="MU492">
        <v>0</v>
      </c>
      <c r="MV492">
        <v>0</v>
      </c>
      <c r="MW492">
        <v>0</v>
      </c>
      <c r="MX492">
        <v>0</v>
      </c>
      <c r="MY492">
        <v>0</v>
      </c>
      <c r="MZ492">
        <v>0</v>
      </c>
      <c r="NA492">
        <v>0</v>
      </c>
      <c r="NB492">
        <v>0</v>
      </c>
      <c r="NC492">
        <v>0</v>
      </c>
      <c r="ND492">
        <v>0</v>
      </c>
      <c r="NE492">
        <v>0</v>
      </c>
      <c r="NF492">
        <v>0</v>
      </c>
      <c r="NG492">
        <v>0</v>
      </c>
      <c r="NH492">
        <v>0</v>
      </c>
      <c r="NI492">
        <v>0</v>
      </c>
      <c r="NJ492">
        <v>0</v>
      </c>
      <c r="NK492">
        <v>0</v>
      </c>
      <c r="NL492">
        <v>0</v>
      </c>
      <c r="NM492">
        <v>0</v>
      </c>
      <c r="NN492">
        <v>0</v>
      </c>
      <c r="NO492">
        <v>0</v>
      </c>
      <c r="NP492">
        <v>0</v>
      </c>
      <c r="NQ492">
        <v>0</v>
      </c>
      <c r="NR492">
        <v>0</v>
      </c>
      <c r="NS492">
        <v>0</v>
      </c>
      <c r="NT492">
        <v>0</v>
      </c>
      <c r="NU492">
        <v>0</v>
      </c>
      <c r="NV492">
        <v>0</v>
      </c>
      <c r="NW492">
        <v>0</v>
      </c>
      <c r="NX492">
        <v>0</v>
      </c>
      <c r="NY492">
        <v>0</v>
      </c>
      <c r="NZ492">
        <v>0</v>
      </c>
      <c r="OA492">
        <v>0</v>
      </c>
      <c r="OB492">
        <v>0</v>
      </c>
      <c r="OC492">
        <v>0</v>
      </c>
      <c r="OD492">
        <v>0</v>
      </c>
      <c r="OE492">
        <v>0</v>
      </c>
      <c r="OF492">
        <v>0</v>
      </c>
      <c r="OG492">
        <v>0</v>
      </c>
      <c r="OH492">
        <v>0</v>
      </c>
      <c r="OI492">
        <v>0</v>
      </c>
      <c r="OJ492">
        <v>0</v>
      </c>
      <c r="OK492">
        <v>0</v>
      </c>
      <c r="OL492">
        <v>0</v>
      </c>
      <c r="OM492">
        <v>0</v>
      </c>
      <c r="ON492">
        <v>0</v>
      </c>
      <c r="OO492">
        <v>0</v>
      </c>
      <c r="OP492">
        <v>0</v>
      </c>
      <c r="OQ492">
        <v>0</v>
      </c>
      <c r="OR492">
        <v>0</v>
      </c>
      <c r="OS492">
        <v>0</v>
      </c>
      <c r="OT492">
        <v>0</v>
      </c>
      <c r="OU492">
        <v>0</v>
      </c>
      <c r="OV492">
        <v>0</v>
      </c>
      <c r="OW492">
        <v>0</v>
      </c>
      <c r="OX492">
        <v>0</v>
      </c>
      <c r="OY492">
        <v>0</v>
      </c>
      <c r="OZ492">
        <v>0</v>
      </c>
      <c r="PA492">
        <v>0</v>
      </c>
      <c r="PB492">
        <v>0</v>
      </c>
      <c r="PC492">
        <v>0</v>
      </c>
      <c r="PD492">
        <v>0</v>
      </c>
      <c r="PE492">
        <v>0</v>
      </c>
      <c r="PF492">
        <v>0</v>
      </c>
      <c r="PG492">
        <v>0</v>
      </c>
      <c r="PH492">
        <v>0</v>
      </c>
      <c r="PI492">
        <v>0</v>
      </c>
      <c r="PJ492">
        <v>0</v>
      </c>
      <c r="PK492">
        <v>0</v>
      </c>
      <c r="PL492">
        <v>0</v>
      </c>
      <c r="PM492">
        <v>0</v>
      </c>
      <c r="PN492">
        <v>0</v>
      </c>
      <c r="PO492">
        <v>0</v>
      </c>
      <c r="PP492">
        <v>0</v>
      </c>
      <c r="PQ492">
        <v>0</v>
      </c>
      <c r="PR492">
        <v>0</v>
      </c>
      <c r="PS492">
        <v>0</v>
      </c>
      <c r="PT492">
        <v>0</v>
      </c>
      <c r="PU492">
        <v>0</v>
      </c>
      <c r="PV492">
        <v>0</v>
      </c>
      <c r="PW492">
        <v>0</v>
      </c>
      <c r="PX492">
        <v>0</v>
      </c>
      <c r="PY492">
        <v>0</v>
      </c>
      <c r="PZ492">
        <v>0</v>
      </c>
      <c r="QA492">
        <v>0</v>
      </c>
      <c r="QB492">
        <v>0</v>
      </c>
      <c r="QC492">
        <v>0</v>
      </c>
      <c r="QD492">
        <v>0</v>
      </c>
      <c r="QE492">
        <v>0</v>
      </c>
      <c r="QF492">
        <v>0</v>
      </c>
      <c r="QG492">
        <v>0</v>
      </c>
      <c r="QH492">
        <v>0</v>
      </c>
      <c r="QI492">
        <v>0</v>
      </c>
      <c r="QJ492">
        <v>0</v>
      </c>
      <c r="QK492">
        <v>0</v>
      </c>
      <c r="QL492">
        <v>0</v>
      </c>
      <c r="QM492">
        <v>0</v>
      </c>
      <c r="QN492">
        <v>0</v>
      </c>
      <c r="QO492">
        <v>0</v>
      </c>
      <c r="QP492">
        <v>0</v>
      </c>
      <c r="QQ492">
        <v>0</v>
      </c>
      <c r="QR492">
        <v>0</v>
      </c>
      <c r="QS492">
        <v>0</v>
      </c>
      <c r="QT492">
        <v>0</v>
      </c>
      <c r="QU492">
        <v>0</v>
      </c>
      <c r="QV492">
        <v>0</v>
      </c>
      <c r="QW492">
        <v>0</v>
      </c>
      <c r="QX492">
        <v>0</v>
      </c>
      <c r="QY492">
        <v>0</v>
      </c>
    </row>
    <row r="493" spans="1:467" hidden="1" x14ac:dyDescent="0.4">
      <c r="A493" t="str">
        <f>"9784866515526"</f>
        <v>9784866515526</v>
      </c>
      <c r="B493" t="str">
        <f>"486651552X"</f>
        <v>486651552X</v>
      </c>
      <c r="C493" t="s">
        <v>2817</v>
      </c>
      <c r="D493" t="s">
        <v>2818</v>
      </c>
      <c r="E493" t="s">
        <v>2417</v>
      </c>
      <c r="G493" t="str">
        <f>"0077"</f>
        <v>0077</v>
      </c>
      <c r="H493" t="s">
        <v>481</v>
      </c>
      <c r="I493" t="s">
        <v>1893</v>
      </c>
      <c r="J493" t="s">
        <v>1006</v>
      </c>
      <c r="L493" s="1">
        <v>44812</v>
      </c>
      <c r="M493">
        <v>1450</v>
      </c>
      <c r="N493">
        <v>6</v>
      </c>
      <c r="O493">
        <v>6</v>
      </c>
      <c r="P493">
        <v>6</v>
      </c>
      <c r="Q493">
        <v>6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1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0</v>
      </c>
      <c r="NL493">
        <v>0</v>
      </c>
      <c r="NM493">
        <v>0</v>
      </c>
      <c r="NN493">
        <v>0</v>
      </c>
      <c r="NO493">
        <v>0</v>
      </c>
      <c r="NP493">
        <v>0</v>
      </c>
      <c r="NQ493">
        <v>0</v>
      </c>
      <c r="NR493">
        <v>1</v>
      </c>
      <c r="NS493">
        <v>1</v>
      </c>
      <c r="NT493">
        <v>0</v>
      </c>
      <c r="NU493">
        <v>0</v>
      </c>
      <c r="NV493">
        <v>0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C493">
        <v>0</v>
      </c>
      <c r="OD493">
        <v>0</v>
      </c>
      <c r="OE493">
        <v>0</v>
      </c>
      <c r="OF493">
        <v>0</v>
      </c>
      <c r="OG493">
        <v>0</v>
      </c>
      <c r="OH493">
        <v>0</v>
      </c>
      <c r="OI493">
        <v>0</v>
      </c>
      <c r="OJ493">
        <v>0</v>
      </c>
      <c r="OK493">
        <v>0</v>
      </c>
      <c r="OL493">
        <v>1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0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0</v>
      </c>
      <c r="PB493">
        <v>0</v>
      </c>
      <c r="PC493">
        <v>0</v>
      </c>
      <c r="PD493">
        <v>0</v>
      </c>
      <c r="PE493">
        <v>0</v>
      </c>
      <c r="PF493">
        <v>0</v>
      </c>
      <c r="PG493">
        <v>0</v>
      </c>
      <c r="PH493">
        <v>0</v>
      </c>
      <c r="PI493">
        <v>0</v>
      </c>
      <c r="PJ493">
        <v>0</v>
      </c>
      <c r="PK493">
        <v>0</v>
      </c>
      <c r="PL493">
        <v>0</v>
      </c>
      <c r="PM493">
        <v>0</v>
      </c>
      <c r="PN493">
        <v>0</v>
      </c>
      <c r="PO493">
        <v>0</v>
      </c>
      <c r="PP493">
        <v>0</v>
      </c>
      <c r="PQ493">
        <v>0</v>
      </c>
      <c r="PR493">
        <v>0</v>
      </c>
      <c r="PS493">
        <v>0</v>
      </c>
      <c r="PT493">
        <v>0</v>
      </c>
      <c r="PU493">
        <v>0</v>
      </c>
      <c r="PV493">
        <v>0</v>
      </c>
      <c r="PW493">
        <v>0</v>
      </c>
      <c r="PX493">
        <v>0</v>
      </c>
      <c r="PY493">
        <v>0</v>
      </c>
      <c r="PZ493">
        <v>0</v>
      </c>
      <c r="QA493">
        <v>0</v>
      </c>
      <c r="QB493">
        <v>1</v>
      </c>
      <c r="QC493">
        <v>0</v>
      </c>
      <c r="QD493">
        <v>0</v>
      </c>
      <c r="QE493">
        <v>0</v>
      </c>
      <c r="QF493">
        <v>0</v>
      </c>
      <c r="QG493">
        <v>0</v>
      </c>
      <c r="QH493">
        <v>0</v>
      </c>
      <c r="QI493">
        <v>0</v>
      </c>
      <c r="QJ493">
        <v>0</v>
      </c>
      <c r="QK493">
        <v>1</v>
      </c>
      <c r="QL493">
        <v>0</v>
      </c>
      <c r="QM493">
        <v>0</v>
      </c>
      <c r="QN493">
        <v>0</v>
      </c>
      <c r="QO493">
        <v>0</v>
      </c>
      <c r="QP493">
        <v>0</v>
      </c>
      <c r="QQ493">
        <v>0</v>
      </c>
      <c r="QR493">
        <v>0</v>
      </c>
      <c r="QS493">
        <v>0</v>
      </c>
      <c r="QT493">
        <v>0</v>
      </c>
      <c r="QU493">
        <v>0</v>
      </c>
      <c r="QV493">
        <v>0</v>
      </c>
      <c r="QW493">
        <v>0</v>
      </c>
      <c r="QX493">
        <v>0</v>
      </c>
      <c r="QY493">
        <v>0</v>
      </c>
    </row>
    <row r="494" spans="1:467" hidden="1" x14ac:dyDescent="0.4">
      <c r="A494" t="str">
        <f>"9784767831015"</f>
        <v>9784767831015</v>
      </c>
      <c r="B494" t="str">
        <f>"4767831016"</f>
        <v>4767831016</v>
      </c>
      <c r="C494" t="s">
        <v>2819</v>
      </c>
      <c r="D494" t="s">
        <v>2820</v>
      </c>
      <c r="E494" t="s">
        <v>2821</v>
      </c>
      <c r="G494" t="str">
        <f>"0077"</f>
        <v>0077</v>
      </c>
      <c r="H494" t="s">
        <v>481</v>
      </c>
      <c r="I494" t="s">
        <v>1893</v>
      </c>
      <c r="J494" t="s">
        <v>1006</v>
      </c>
      <c r="L494" s="1">
        <v>44923</v>
      </c>
      <c r="M494">
        <v>1800</v>
      </c>
      <c r="N494">
        <v>6</v>
      </c>
      <c r="O494">
        <v>4</v>
      </c>
      <c r="P494">
        <v>6</v>
      </c>
      <c r="Q494">
        <v>4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2</v>
      </c>
      <c r="DU494">
        <v>0</v>
      </c>
      <c r="DV494">
        <v>0</v>
      </c>
      <c r="DW494">
        <v>0</v>
      </c>
      <c r="DX494">
        <v>0</v>
      </c>
      <c r="DY494">
        <v>2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1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0</v>
      </c>
      <c r="MP494">
        <v>0</v>
      </c>
      <c r="MQ494">
        <v>0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0</v>
      </c>
      <c r="NK494">
        <v>0</v>
      </c>
      <c r="NL494">
        <v>0</v>
      </c>
      <c r="NM494">
        <v>0</v>
      </c>
      <c r="NN494">
        <v>0</v>
      </c>
      <c r="NO494">
        <v>0</v>
      </c>
      <c r="NP494">
        <v>0</v>
      </c>
      <c r="NQ494">
        <v>0</v>
      </c>
      <c r="NR494">
        <v>0</v>
      </c>
      <c r="NS494">
        <v>0</v>
      </c>
      <c r="NT494">
        <v>0</v>
      </c>
      <c r="NU494">
        <v>0</v>
      </c>
      <c r="NV494">
        <v>0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C494">
        <v>0</v>
      </c>
      <c r="OD494">
        <v>0</v>
      </c>
      <c r="OE494">
        <v>0</v>
      </c>
      <c r="OF494">
        <v>0</v>
      </c>
      <c r="OG494">
        <v>0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0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0</v>
      </c>
      <c r="PL494">
        <v>0</v>
      </c>
      <c r="PM494">
        <v>0</v>
      </c>
      <c r="PN494">
        <v>0</v>
      </c>
      <c r="PO494">
        <v>0</v>
      </c>
      <c r="PP494">
        <v>0</v>
      </c>
      <c r="PQ494">
        <v>0</v>
      </c>
      <c r="PR494">
        <v>0</v>
      </c>
      <c r="PS494">
        <v>0</v>
      </c>
      <c r="PT494">
        <v>0</v>
      </c>
      <c r="PU494">
        <v>0</v>
      </c>
      <c r="PV494">
        <v>0</v>
      </c>
      <c r="PW494">
        <v>0</v>
      </c>
      <c r="PX494">
        <v>0</v>
      </c>
      <c r="PY494">
        <v>0</v>
      </c>
      <c r="PZ494">
        <v>0</v>
      </c>
      <c r="QA494">
        <v>0</v>
      </c>
      <c r="QB494">
        <v>1</v>
      </c>
      <c r="QC494">
        <v>0</v>
      </c>
      <c r="QD494">
        <v>0</v>
      </c>
      <c r="QE494">
        <v>0</v>
      </c>
      <c r="QF494">
        <v>0</v>
      </c>
      <c r="QG494">
        <v>0</v>
      </c>
      <c r="QH494">
        <v>0</v>
      </c>
      <c r="QI494">
        <v>0</v>
      </c>
      <c r="QJ494">
        <v>0</v>
      </c>
      <c r="QK494">
        <v>0</v>
      </c>
      <c r="QL494">
        <v>0</v>
      </c>
      <c r="QM494">
        <v>0</v>
      </c>
      <c r="QN494">
        <v>0</v>
      </c>
      <c r="QO494">
        <v>0</v>
      </c>
      <c r="QP494">
        <v>0</v>
      </c>
      <c r="QQ494">
        <v>0</v>
      </c>
      <c r="QR494">
        <v>0</v>
      </c>
      <c r="QS494">
        <v>0</v>
      </c>
      <c r="QT494">
        <v>0</v>
      </c>
      <c r="QU494">
        <v>0</v>
      </c>
      <c r="QV494">
        <v>0</v>
      </c>
      <c r="QW494">
        <v>0</v>
      </c>
      <c r="QX494">
        <v>0</v>
      </c>
      <c r="QY494">
        <v>0</v>
      </c>
    </row>
    <row r="495" spans="1:467" x14ac:dyDescent="0.4">
      <c r="A495" t="str">
        <f>"9784065303504"</f>
        <v>9784065303504</v>
      </c>
      <c r="B495" t="str">
        <f>"4065303508"</f>
        <v>4065303508</v>
      </c>
      <c r="C495" t="s">
        <v>2822</v>
      </c>
      <c r="D495" t="s">
        <v>2823</v>
      </c>
      <c r="E495" t="s">
        <v>548</v>
      </c>
      <c r="F495" t="s">
        <v>1862</v>
      </c>
      <c r="G495" t="str">
        <f>"9979"</f>
        <v>9979</v>
      </c>
      <c r="H495" t="s">
        <v>1855</v>
      </c>
      <c r="I495" t="s">
        <v>1856</v>
      </c>
      <c r="J495" t="s">
        <v>1856</v>
      </c>
      <c r="L495" s="1">
        <v>44943</v>
      </c>
      <c r="M495">
        <v>480</v>
      </c>
      <c r="N495">
        <v>6</v>
      </c>
      <c r="O495">
        <v>4</v>
      </c>
      <c r="P495">
        <v>6</v>
      </c>
      <c r="Q495">
        <v>4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1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2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2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0</v>
      </c>
      <c r="NM495">
        <v>0</v>
      </c>
      <c r="NN495">
        <v>0</v>
      </c>
      <c r="NO495">
        <v>0</v>
      </c>
      <c r="NP495">
        <v>0</v>
      </c>
      <c r="NQ495">
        <v>0</v>
      </c>
      <c r="NR495">
        <v>0</v>
      </c>
      <c r="NS495">
        <v>0</v>
      </c>
      <c r="NT495">
        <v>0</v>
      </c>
      <c r="NU495">
        <v>0</v>
      </c>
      <c r="NV495">
        <v>0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0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0</v>
      </c>
      <c r="OO495">
        <v>0</v>
      </c>
      <c r="OP495">
        <v>0</v>
      </c>
      <c r="OQ495">
        <v>0</v>
      </c>
      <c r="OR495">
        <v>0</v>
      </c>
      <c r="OS495">
        <v>0</v>
      </c>
      <c r="OT495">
        <v>0</v>
      </c>
      <c r="OU495">
        <v>0</v>
      </c>
      <c r="OV495">
        <v>0</v>
      </c>
      <c r="OW495">
        <v>0</v>
      </c>
      <c r="OX495">
        <v>0</v>
      </c>
      <c r="OY495">
        <v>0</v>
      </c>
      <c r="OZ495">
        <v>0</v>
      </c>
      <c r="PA495">
        <v>0</v>
      </c>
      <c r="PB495">
        <v>0</v>
      </c>
      <c r="PC495">
        <v>0</v>
      </c>
      <c r="PD495">
        <v>0</v>
      </c>
      <c r="PE495">
        <v>0</v>
      </c>
      <c r="PF495">
        <v>0</v>
      </c>
      <c r="PG495">
        <v>0</v>
      </c>
      <c r="PH495">
        <v>0</v>
      </c>
      <c r="PI495">
        <v>0</v>
      </c>
      <c r="PJ495">
        <v>0</v>
      </c>
      <c r="PK495">
        <v>0</v>
      </c>
      <c r="PL495">
        <v>0</v>
      </c>
      <c r="PM495">
        <v>0</v>
      </c>
      <c r="PN495">
        <v>0</v>
      </c>
      <c r="PO495">
        <v>0</v>
      </c>
      <c r="PP495">
        <v>0</v>
      </c>
      <c r="PQ495">
        <v>0</v>
      </c>
      <c r="PR495">
        <v>0</v>
      </c>
      <c r="PS495">
        <v>0</v>
      </c>
      <c r="PT495">
        <v>0</v>
      </c>
      <c r="PU495">
        <v>0</v>
      </c>
      <c r="PV495">
        <v>0</v>
      </c>
      <c r="PW495">
        <v>0</v>
      </c>
      <c r="PX495">
        <v>0</v>
      </c>
      <c r="PY495">
        <v>0</v>
      </c>
      <c r="PZ495">
        <v>0</v>
      </c>
      <c r="QA495">
        <v>0</v>
      </c>
      <c r="QB495">
        <v>0</v>
      </c>
      <c r="QC495">
        <v>0</v>
      </c>
      <c r="QD495">
        <v>0</v>
      </c>
      <c r="QE495">
        <v>0</v>
      </c>
      <c r="QF495">
        <v>0</v>
      </c>
      <c r="QG495">
        <v>0</v>
      </c>
      <c r="QH495">
        <v>0</v>
      </c>
      <c r="QI495">
        <v>0</v>
      </c>
      <c r="QJ495">
        <v>0</v>
      </c>
      <c r="QK495">
        <v>0</v>
      </c>
      <c r="QL495">
        <v>0</v>
      </c>
      <c r="QM495">
        <v>0</v>
      </c>
      <c r="QN495">
        <v>0</v>
      </c>
      <c r="QO495">
        <v>0</v>
      </c>
      <c r="QP495">
        <v>0</v>
      </c>
      <c r="QQ495">
        <v>0</v>
      </c>
      <c r="QR495">
        <v>0</v>
      </c>
      <c r="QS495">
        <v>0</v>
      </c>
      <c r="QT495">
        <v>0</v>
      </c>
      <c r="QU495">
        <v>0</v>
      </c>
      <c r="QV495">
        <v>0</v>
      </c>
      <c r="QW495">
        <v>0</v>
      </c>
      <c r="QX495">
        <v>0</v>
      </c>
      <c r="QY495">
        <v>0</v>
      </c>
    </row>
    <row r="496" spans="1:467" hidden="1" x14ac:dyDescent="0.4">
      <c r="A496" t="str">
        <f>"9784866514970"</f>
        <v>9784866514970</v>
      </c>
      <c r="B496" t="str">
        <f>"4866514973"</f>
        <v>4866514973</v>
      </c>
      <c r="C496" t="s">
        <v>2824</v>
      </c>
      <c r="D496" t="s">
        <v>2416</v>
      </c>
      <c r="E496" t="s">
        <v>2417</v>
      </c>
      <c r="G496" t="str">
        <f>"0095"</f>
        <v>0095</v>
      </c>
      <c r="H496" t="s">
        <v>481</v>
      </c>
      <c r="I496" t="s">
        <v>1893</v>
      </c>
      <c r="J496" t="s">
        <v>509</v>
      </c>
      <c r="L496" s="1">
        <v>44699</v>
      </c>
      <c r="M496">
        <v>1680</v>
      </c>
      <c r="N496">
        <v>6</v>
      </c>
      <c r="O496">
        <v>6</v>
      </c>
      <c r="P496">
        <v>6</v>
      </c>
      <c r="Q496">
        <v>6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1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1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1</v>
      </c>
      <c r="JR496">
        <v>1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1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  <c r="NK496">
        <v>0</v>
      </c>
      <c r="NL496">
        <v>0</v>
      </c>
      <c r="NM496">
        <v>0</v>
      </c>
      <c r="NN496">
        <v>0</v>
      </c>
      <c r="NO496">
        <v>0</v>
      </c>
      <c r="NP496">
        <v>0</v>
      </c>
      <c r="NQ496">
        <v>0</v>
      </c>
      <c r="NR496">
        <v>0</v>
      </c>
      <c r="NS496">
        <v>0</v>
      </c>
      <c r="NT496">
        <v>0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0</v>
      </c>
      <c r="OD496">
        <v>0</v>
      </c>
      <c r="OE496">
        <v>0</v>
      </c>
      <c r="OF496">
        <v>0</v>
      </c>
      <c r="OG496">
        <v>0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0</v>
      </c>
      <c r="PJ496">
        <v>0</v>
      </c>
      <c r="PK496">
        <v>0</v>
      </c>
      <c r="PL496">
        <v>0</v>
      </c>
      <c r="PM496">
        <v>0</v>
      </c>
      <c r="PN496">
        <v>0</v>
      </c>
      <c r="PO496">
        <v>0</v>
      </c>
      <c r="PP496">
        <v>0</v>
      </c>
      <c r="PQ496">
        <v>0</v>
      </c>
      <c r="PR496">
        <v>0</v>
      </c>
      <c r="PS496">
        <v>0</v>
      </c>
      <c r="PT496">
        <v>1</v>
      </c>
      <c r="PU496">
        <v>0</v>
      </c>
      <c r="PV496">
        <v>0</v>
      </c>
      <c r="PW496">
        <v>0</v>
      </c>
      <c r="PX496">
        <v>0</v>
      </c>
      <c r="PY496">
        <v>0</v>
      </c>
      <c r="PZ496">
        <v>0</v>
      </c>
      <c r="QA496">
        <v>0</v>
      </c>
      <c r="QB496">
        <v>0</v>
      </c>
      <c r="QC496">
        <v>0</v>
      </c>
      <c r="QD496">
        <v>0</v>
      </c>
      <c r="QE496">
        <v>0</v>
      </c>
      <c r="QF496">
        <v>0</v>
      </c>
      <c r="QG496">
        <v>0</v>
      </c>
      <c r="QH496">
        <v>0</v>
      </c>
      <c r="QI496">
        <v>0</v>
      </c>
      <c r="QJ496">
        <v>0</v>
      </c>
      <c r="QK496">
        <v>0</v>
      </c>
      <c r="QL496">
        <v>0</v>
      </c>
      <c r="QM496">
        <v>0</v>
      </c>
      <c r="QN496">
        <v>0</v>
      </c>
      <c r="QO496">
        <v>0</v>
      </c>
      <c r="QP496">
        <v>0</v>
      </c>
      <c r="QQ496">
        <v>0</v>
      </c>
      <c r="QR496">
        <v>0</v>
      </c>
      <c r="QS496">
        <v>0</v>
      </c>
      <c r="QT496">
        <v>0</v>
      </c>
      <c r="QU496">
        <v>0</v>
      </c>
      <c r="QV496">
        <v>0</v>
      </c>
      <c r="QW496">
        <v>0</v>
      </c>
      <c r="QX496">
        <v>0</v>
      </c>
      <c r="QY496">
        <v>0</v>
      </c>
    </row>
    <row r="497" spans="1:467" hidden="1" x14ac:dyDescent="0.4">
      <c r="A497" t="str">
        <f>"9784047037106"</f>
        <v>9784047037106</v>
      </c>
      <c r="B497" t="str">
        <f>"4047037109"</f>
        <v>4047037109</v>
      </c>
      <c r="C497" t="s">
        <v>2825</v>
      </c>
      <c r="D497" t="s">
        <v>2826</v>
      </c>
      <c r="E497" t="s">
        <v>597</v>
      </c>
      <c r="F497" t="s">
        <v>2827</v>
      </c>
      <c r="G497" t="str">
        <f>"0392"</f>
        <v>0392</v>
      </c>
      <c r="H497" t="s">
        <v>481</v>
      </c>
      <c r="I497" t="s">
        <v>1877</v>
      </c>
      <c r="J497" t="s">
        <v>492</v>
      </c>
      <c r="L497" s="1">
        <v>44889</v>
      </c>
      <c r="M497">
        <v>1800</v>
      </c>
      <c r="N497">
        <v>6</v>
      </c>
      <c r="O497">
        <v>6</v>
      </c>
      <c r="P497">
        <v>6</v>
      </c>
      <c r="Q497">
        <v>6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1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1</v>
      </c>
      <c r="JN497">
        <v>0</v>
      </c>
      <c r="JO497">
        <v>0</v>
      </c>
      <c r="JP497">
        <v>0</v>
      </c>
      <c r="JQ497">
        <v>1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1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0</v>
      </c>
      <c r="NL497">
        <v>0</v>
      </c>
      <c r="NM497">
        <v>0</v>
      </c>
      <c r="NN497">
        <v>0</v>
      </c>
      <c r="NO497">
        <v>0</v>
      </c>
      <c r="NP497">
        <v>0</v>
      </c>
      <c r="NQ497">
        <v>0</v>
      </c>
      <c r="NR497">
        <v>0</v>
      </c>
      <c r="NS497">
        <v>0</v>
      </c>
      <c r="NT497">
        <v>0</v>
      </c>
      <c r="NU497">
        <v>0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C497">
        <v>0</v>
      </c>
      <c r="OD497">
        <v>0</v>
      </c>
      <c r="OE497">
        <v>0</v>
      </c>
      <c r="OF497">
        <v>0</v>
      </c>
      <c r="OG497">
        <v>0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0</v>
      </c>
      <c r="PB497">
        <v>0</v>
      </c>
      <c r="PC497">
        <v>0</v>
      </c>
      <c r="PD497">
        <v>0</v>
      </c>
      <c r="PE497">
        <v>0</v>
      </c>
      <c r="PF497">
        <v>0</v>
      </c>
      <c r="PG497">
        <v>0</v>
      </c>
      <c r="PH497">
        <v>0</v>
      </c>
      <c r="PI497">
        <v>0</v>
      </c>
      <c r="PJ497">
        <v>0</v>
      </c>
      <c r="PK497">
        <v>0</v>
      </c>
      <c r="PL497">
        <v>0</v>
      </c>
      <c r="PM497">
        <v>0</v>
      </c>
      <c r="PN497">
        <v>0</v>
      </c>
      <c r="PO497">
        <v>0</v>
      </c>
      <c r="PP497">
        <v>0</v>
      </c>
      <c r="PQ497">
        <v>0</v>
      </c>
      <c r="PR497">
        <v>0</v>
      </c>
      <c r="PS497">
        <v>0</v>
      </c>
      <c r="PT497">
        <v>0</v>
      </c>
      <c r="PU497">
        <v>0</v>
      </c>
      <c r="PV497">
        <v>0</v>
      </c>
      <c r="PW497">
        <v>1</v>
      </c>
      <c r="PX497">
        <v>0</v>
      </c>
      <c r="PY497">
        <v>0</v>
      </c>
      <c r="PZ497">
        <v>0</v>
      </c>
      <c r="QA497">
        <v>0</v>
      </c>
      <c r="QB497">
        <v>0</v>
      </c>
      <c r="QC497">
        <v>0</v>
      </c>
      <c r="QD497">
        <v>0</v>
      </c>
      <c r="QE497">
        <v>0</v>
      </c>
      <c r="QF497">
        <v>0</v>
      </c>
      <c r="QG497">
        <v>0</v>
      </c>
      <c r="QH497">
        <v>0</v>
      </c>
      <c r="QI497">
        <v>0</v>
      </c>
      <c r="QJ497">
        <v>0</v>
      </c>
      <c r="QK497">
        <v>0</v>
      </c>
      <c r="QL497">
        <v>0</v>
      </c>
      <c r="QM497">
        <v>0</v>
      </c>
      <c r="QN497">
        <v>0</v>
      </c>
      <c r="QO497">
        <v>0</v>
      </c>
      <c r="QP497">
        <v>0</v>
      </c>
      <c r="QQ497">
        <v>0</v>
      </c>
      <c r="QR497">
        <v>0</v>
      </c>
      <c r="QS497">
        <v>0</v>
      </c>
      <c r="QT497">
        <v>0</v>
      </c>
      <c r="QU497">
        <v>0</v>
      </c>
      <c r="QV497">
        <v>0</v>
      </c>
      <c r="QW497">
        <v>0</v>
      </c>
      <c r="QX497">
        <v>0</v>
      </c>
      <c r="QY497">
        <v>0</v>
      </c>
    </row>
    <row r="498" spans="1:467" x14ac:dyDescent="0.4">
      <c r="A498" t="str">
        <f>"9784088925035"</f>
        <v>9784088925035</v>
      </c>
      <c r="B498" t="str">
        <f>"4088925033"</f>
        <v>4088925033</v>
      </c>
      <c r="C498" t="s">
        <v>2828</v>
      </c>
      <c r="D498" t="s">
        <v>2829</v>
      </c>
      <c r="E498" t="s">
        <v>536</v>
      </c>
      <c r="F498" t="s">
        <v>1859</v>
      </c>
      <c r="G498" t="str">
        <f>"9979"</f>
        <v>9979</v>
      </c>
      <c r="H498" t="s">
        <v>1855</v>
      </c>
      <c r="I498" t="s">
        <v>1856</v>
      </c>
      <c r="J498" t="s">
        <v>1856</v>
      </c>
      <c r="L498" s="1">
        <v>44914</v>
      </c>
      <c r="M498">
        <v>650</v>
      </c>
      <c r="N498">
        <v>6</v>
      </c>
      <c r="O498">
        <v>6</v>
      </c>
      <c r="P498">
        <v>6</v>
      </c>
      <c r="Q498">
        <v>6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1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1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1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1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1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0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0</v>
      </c>
      <c r="NA498">
        <v>0</v>
      </c>
      <c r="NB498">
        <v>0</v>
      </c>
      <c r="NC498">
        <v>0</v>
      </c>
      <c r="ND498">
        <v>0</v>
      </c>
      <c r="NE498">
        <v>0</v>
      </c>
      <c r="NF498">
        <v>0</v>
      </c>
      <c r="NG498">
        <v>0</v>
      </c>
      <c r="NH498">
        <v>0</v>
      </c>
      <c r="NI498">
        <v>0</v>
      </c>
      <c r="NJ498">
        <v>0</v>
      </c>
      <c r="NK498">
        <v>0</v>
      </c>
      <c r="NL498">
        <v>0</v>
      </c>
      <c r="NM498">
        <v>0</v>
      </c>
      <c r="NN498">
        <v>0</v>
      </c>
      <c r="NO498">
        <v>0</v>
      </c>
      <c r="NP498">
        <v>0</v>
      </c>
      <c r="NQ498">
        <v>0</v>
      </c>
      <c r="NR498">
        <v>0</v>
      </c>
      <c r="NS498">
        <v>0</v>
      </c>
      <c r="NT498">
        <v>0</v>
      </c>
      <c r="NU498">
        <v>0</v>
      </c>
      <c r="NV498">
        <v>0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0</v>
      </c>
      <c r="OE498">
        <v>0</v>
      </c>
      <c r="OF498">
        <v>0</v>
      </c>
      <c r="OG498">
        <v>0</v>
      </c>
      <c r="OH498">
        <v>0</v>
      </c>
      <c r="OI498">
        <v>0</v>
      </c>
      <c r="OJ498">
        <v>0</v>
      </c>
      <c r="OK498">
        <v>0</v>
      </c>
      <c r="OL498">
        <v>0</v>
      </c>
      <c r="OM498">
        <v>0</v>
      </c>
      <c r="ON498">
        <v>0</v>
      </c>
      <c r="OO498">
        <v>0</v>
      </c>
      <c r="OP498">
        <v>0</v>
      </c>
      <c r="OQ498">
        <v>0</v>
      </c>
      <c r="OR498">
        <v>0</v>
      </c>
      <c r="OS498">
        <v>0</v>
      </c>
      <c r="OT498">
        <v>0</v>
      </c>
      <c r="OU498">
        <v>0</v>
      </c>
      <c r="OV498">
        <v>0</v>
      </c>
      <c r="OW498">
        <v>0</v>
      </c>
      <c r="OX498">
        <v>0</v>
      </c>
      <c r="OY498">
        <v>0</v>
      </c>
      <c r="OZ498">
        <v>0</v>
      </c>
      <c r="PA498">
        <v>0</v>
      </c>
      <c r="PB498">
        <v>0</v>
      </c>
      <c r="PC498">
        <v>0</v>
      </c>
      <c r="PD498">
        <v>0</v>
      </c>
      <c r="PE498">
        <v>0</v>
      </c>
      <c r="PF498">
        <v>0</v>
      </c>
      <c r="PG498">
        <v>0</v>
      </c>
      <c r="PH498">
        <v>0</v>
      </c>
      <c r="PI498">
        <v>0</v>
      </c>
      <c r="PJ498">
        <v>0</v>
      </c>
      <c r="PK498">
        <v>0</v>
      </c>
      <c r="PL498">
        <v>0</v>
      </c>
      <c r="PM498">
        <v>0</v>
      </c>
      <c r="PN498">
        <v>0</v>
      </c>
      <c r="PO498">
        <v>0</v>
      </c>
      <c r="PP498">
        <v>0</v>
      </c>
      <c r="PQ498">
        <v>0</v>
      </c>
      <c r="PR498">
        <v>0</v>
      </c>
      <c r="PS498">
        <v>0</v>
      </c>
      <c r="PT498">
        <v>0</v>
      </c>
      <c r="PU498">
        <v>0</v>
      </c>
      <c r="PV498">
        <v>0</v>
      </c>
      <c r="PW498">
        <v>0</v>
      </c>
      <c r="PX498">
        <v>0</v>
      </c>
      <c r="PY498">
        <v>0</v>
      </c>
      <c r="PZ498">
        <v>0</v>
      </c>
      <c r="QA498">
        <v>0</v>
      </c>
      <c r="QB498">
        <v>0</v>
      </c>
      <c r="QC498">
        <v>0</v>
      </c>
      <c r="QD498">
        <v>0</v>
      </c>
      <c r="QE498">
        <v>0</v>
      </c>
      <c r="QF498">
        <v>0</v>
      </c>
      <c r="QG498">
        <v>0</v>
      </c>
      <c r="QH498">
        <v>0</v>
      </c>
      <c r="QI498">
        <v>0</v>
      </c>
      <c r="QJ498">
        <v>0</v>
      </c>
      <c r="QK498">
        <v>0</v>
      </c>
      <c r="QL498">
        <v>0</v>
      </c>
      <c r="QM498">
        <v>0</v>
      </c>
      <c r="QN498">
        <v>0</v>
      </c>
      <c r="QO498">
        <v>0</v>
      </c>
      <c r="QP498">
        <v>0</v>
      </c>
      <c r="QQ498">
        <v>0</v>
      </c>
      <c r="QR498">
        <v>0</v>
      </c>
      <c r="QS498">
        <v>0</v>
      </c>
      <c r="QT498">
        <v>0</v>
      </c>
      <c r="QU498">
        <v>0</v>
      </c>
      <c r="QV498">
        <v>0</v>
      </c>
      <c r="QW498">
        <v>0</v>
      </c>
      <c r="QX498">
        <v>0</v>
      </c>
      <c r="QY498">
        <v>0</v>
      </c>
    </row>
    <row r="499" spans="1:467" x14ac:dyDescent="0.4">
      <c r="A499" t="str">
        <f>"9784098608010"</f>
        <v>9784098608010</v>
      </c>
      <c r="B499" t="str">
        <f>"4098608014"</f>
        <v>4098608014</v>
      </c>
      <c r="C499" t="s">
        <v>2830</v>
      </c>
      <c r="D499" t="s">
        <v>2831</v>
      </c>
      <c r="E499" t="s">
        <v>1069</v>
      </c>
      <c r="F499" t="s">
        <v>2407</v>
      </c>
      <c r="G499" t="str">
        <f>"9979"</f>
        <v>9979</v>
      </c>
      <c r="H499" t="s">
        <v>1855</v>
      </c>
      <c r="I499" t="s">
        <v>1856</v>
      </c>
      <c r="J499" t="s">
        <v>1856</v>
      </c>
      <c r="L499" s="1">
        <v>44208</v>
      </c>
      <c r="M499">
        <v>591</v>
      </c>
      <c r="N499">
        <v>6</v>
      </c>
      <c r="O499">
        <v>5</v>
      </c>
      <c r="P499">
        <v>6</v>
      </c>
      <c r="Q499">
        <v>5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2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1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1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1</v>
      </c>
      <c r="JR499">
        <v>1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0</v>
      </c>
      <c r="NK499">
        <v>0</v>
      </c>
      <c r="NL499">
        <v>0</v>
      </c>
      <c r="NM499">
        <v>0</v>
      </c>
      <c r="NN499">
        <v>0</v>
      </c>
      <c r="NO499">
        <v>0</v>
      </c>
      <c r="NP499">
        <v>0</v>
      </c>
      <c r="NQ499">
        <v>0</v>
      </c>
      <c r="NR499">
        <v>0</v>
      </c>
      <c r="NS499">
        <v>0</v>
      </c>
      <c r="NT499">
        <v>0</v>
      </c>
      <c r="NU499">
        <v>0</v>
      </c>
      <c r="NV499">
        <v>0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0</v>
      </c>
      <c r="OC499">
        <v>0</v>
      </c>
      <c r="OD499">
        <v>0</v>
      </c>
      <c r="OE499">
        <v>0</v>
      </c>
      <c r="OF499">
        <v>0</v>
      </c>
      <c r="OG499">
        <v>0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0</v>
      </c>
      <c r="PE499">
        <v>0</v>
      </c>
      <c r="PF499">
        <v>0</v>
      </c>
      <c r="PG499">
        <v>0</v>
      </c>
      <c r="PH499">
        <v>0</v>
      </c>
      <c r="PI499">
        <v>0</v>
      </c>
      <c r="PJ499">
        <v>0</v>
      </c>
      <c r="PK499">
        <v>0</v>
      </c>
      <c r="PL499">
        <v>0</v>
      </c>
      <c r="PM499">
        <v>0</v>
      </c>
      <c r="PN499">
        <v>0</v>
      </c>
      <c r="PO499">
        <v>0</v>
      </c>
      <c r="PP499">
        <v>0</v>
      </c>
      <c r="PQ499">
        <v>0</v>
      </c>
      <c r="PR499">
        <v>0</v>
      </c>
      <c r="PS499">
        <v>0</v>
      </c>
      <c r="PT499">
        <v>0</v>
      </c>
      <c r="PU499">
        <v>0</v>
      </c>
      <c r="PV499">
        <v>0</v>
      </c>
      <c r="PW499">
        <v>0</v>
      </c>
      <c r="PX499">
        <v>0</v>
      </c>
      <c r="PY499">
        <v>0</v>
      </c>
      <c r="PZ499">
        <v>0</v>
      </c>
      <c r="QA499">
        <v>0</v>
      </c>
      <c r="QB499">
        <v>0</v>
      </c>
      <c r="QC499">
        <v>0</v>
      </c>
      <c r="QD499">
        <v>0</v>
      </c>
      <c r="QE499">
        <v>0</v>
      </c>
      <c r="QF499">
        <v>0</v>
      </c>
      <c r="QG499">
        <v>0</v>
      </c>
      <c r="QH499">
        <v>0</v>
      </c>
      <c r="QI499">
        <v>0</v>
      </c>
      <c r="QJ499">
        <v>0</v>
      </c>
      <c r="QK499">
        <v>0</v>
      </c>
      <c r="QL499">
        <v>0</v>
      </c>
      <c r="QM499">
        <v>0</v>
      </c>
      <c r="QN499">
        <v>0</v>
      </c>
      <c r="QO499">
        <v>0</v>
      </c>
      <c r="QP499">
        <v>0</v>
      </c>
      <c r="QQ499">
        <v>0</v>
      </c>
      <c r="QR499">
        <v>0</v>
      </c>
      <c r="QS499">
        <v>0</v>
      </c>
      <c r="QT499">
        <v>0</v>
      </c>
      <c r="QU499">
        <v>0</v>
      </c>
      <c r="QV499">
        <v>0</v>
      </c>
      <c r="QW499">
        <v>0</v>
      </c>
      <c r="QX499">
        <v>0</v>
      </c>
      <c r="QY499">
        <v>0</v>
      </c>
    </row>
    <row r="500" spans="1:467" hidden="1" x14ac:dyDescent="0.4">
      <c r="A500" t="str">
        <f>"9784001141276"</f>
        <v>9784001141276</v>
      </c>
      <c r="B500" t="str">
        <f>"4001141272"</f>
        <v>4001141272</v>
      </c>
      <c r="C500" t="s">
        <v>2832</v>
      </c>
      <c r="D500" t="s">
        <v>2833</v>
      </c>
      <c r="E500" t="s">
        <v>521</v>
      </c>
      <c r="F500" t="s">
        <v>2834</v>
      </c>
      <c r="G500" t="str">
        <f>"8397"</f>
        <v>8397</v>
      </c>
      <c r="H500" t="s">
        <v>1923</v>
      </c>
      <c r="I500" t="s">
        <v>1877</v>
      </c>
      <c r="J500" t="s">
        <v>564</v>
      </c>
      <c r="L500" s="1">
        <v>38504</v>
      </c>
      <c r="M500">
        <v>800</v>
      </c>
      <c r="N500">
        <v>6</v>
      </c>
      <c r="O500">
        <v>4</v>
      </c>
      <c r="P500">
        <v>6</v>
      </c>
      <c r="Q500">
        <v>4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3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1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1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1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  <c r="NK500">
        <v>0</v>
      </c>
      <c r="NL500">
        <v>0</v>
      </c>
      <c r="NM500">
        <v>0</v>
      </c>
      <c r="NN500">
        <v>0</v>
      </c>
      <c r="NO500">
        <v>0</v>
      </c>
      <c r="NP500">
        <v>0</v>
      </c>
      <c r="NQ500">
        <v>0</v>
      </c>
      <c r="NR500">
        <v>0</v>
      </c>
      <c r="NS500">
        <v>0</v>
      </c>
      <c r="NT500">
        <v>0</v>
      </c>
      <c r="NU500">
        <v>0</v>
      </c>
      <c r="NV500">
        <v>0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C500">
        <v>0</v>
      </c>
      <c r="OD500">
        <v>0</v>
      </c>
      <c r="OE500">
        <v>0</v>
      </c>
      <c r="OF500">
        <v>0</v>
      </c>
      <c r="OG500">
        <v>0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0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0</v>
      </c>
      <c r="PA500">
        <v>0</v>
      </c>
      <c r="PB500">
        <v>0</v>
      </c>
      <c r="PC500">
        <v>0</v>
      </c>
      <c r="PD500">
        <v>0</v>
      </c>
      <c r="PE500">
        <v>0</v>
      </c>
      <c r="PF500">
        <v>0</v>
      </c>
      <c r="PG500">
        <v>0</v>
      </c>
      <c r="PH500">
        <v>0</v>
      </c>
      <c r="PI500">
        <v>0</v>
      </c>
      <c r="PJ500">
        <v>0</v>
      </c>
      <c r="PK500">
        <v>0</v>
      </c>
      <c r="PL500">
        <v>0</v>
      </c>
      <c r="PM500">
        <v>0</v>
      </c>
      <c r="PN500">
        <v>0</v>
      </c>
      <c r="PO500">
        <v>0</v>
      </c>
      <c r="PP500">
        <v>0</v>
      </c>
      <c r="PQ500">
        <v>0</v>
      </c>
      <c r="PR500">
        <v>0</v>
      </c>
      <c r="PS500">
        <v>0</v>
      </c>
      <c r="PT500">
        <v>0</v>
      </c>
      <c r="PU500">
        <v>0</v>
      </c>
      <c r="PV500">
        <v>0</v>
      </c>
      <c r="PW500">
        <v>0</v>
      </c>
      <c r="PX500">
        <v>0</v>
      </c>
      <c r="PY500">
        <v>0</v>
      </c>
      <c r="PZ500">
        <v>0</v>
      </c>
      <c r="QA500">
        <v>0</v>
      </c>
      <c r="QB500">
        <v>0</v>
      </c>
      <c r="QC500">
        <v>0</v>
      </c>
      <c r="QD500">
        <v>0</v>
      </c>
      <c r="QE500">
        <v>0</v>
      </c>
      <c r="QF500">
        <v>0</v>
      </c>
      <c r="QG500">
        <v>0</v>
      </c>
      <c r="QH500">
        <v>0</v>
      </c>
      <c r="QI500">
        <v>0</v>
      </c>
      <c r="QJ500">
        <v>0</v>
      </c>
      <c r="QK500">
        <v>0</v>
      </c>
      <c r="QL500">
        <v>0</v>
      </c>
      <c r="QM500">
        <v>0</v>
      </c>
      <c r="QN500">
        <v>0</v>
      </c>
      <c r="QO500">
        <v>0</v>
      </c>
      <c r="QP500">
        <v>0</v>
      </c>
      <c r="QQ500">
        <v>0</v>
      </c>
      <c r="QR500">
        <v>0</v>
      </c>
      <c r="QS500">
        <v>0</v>
      </c>
      <c r="QT500">
        <v>0</v>
      </c>
      <c r="QU500">
        <v>0</v>
      </c>
      <c r="QV500">
        <v>0</v>
      </c>
      <c r="QW500">
        <v>0</v>
      </c>
      <c r="QX500">
        <v>0</v>
      </c>
      <c r="QY500">
        <v>0</v>
      </c>
    </row>
    <row r="501" spans="1:467" hidden="1" x14ac:dyDescent="0.4">
      <c r="A501" t="str">
        <f>"9784092531703"</f>
        <v>9784092531703</v>
      </c>
      <c r="B501" t="str">
        <f>"4092531702"</f>
        <v>4092531702</v>
      </c>
      <c r="C501" t="s">
        <v>2835</v>
      </c>
      <c r="E501" t="s">
        <v>1069</v>
      </c>
      <c r="F501" t="s">
        <v>2836</v>
      </c>
      <c r="G501" t="str">
        <f>"8373"</f>
        <v>8373</v>
      </c>
      <c r="H501" t="s">
        <v>1923</v>
      </c>
      <c r="I501" t="s">
        <v>1877</v>
      </c>
      <c r="J501" t="s">
        <v>794</v>
      </c>
      <c r="L501" s="1">
        <v>36312</v>
      </c>
      <c r="M501">
        <v>760</v>
      </c>
      <c r="N501">
        <v>6</v>
      </c>
      <c r="O501">
        <v>1</v>
      </c>
      <c r="P501">
        <v>6</v>
      </c>
      <c r="Q501">
        <v>1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0</v>
      </c>
      <c r="MR501">
        <v>0</v>
      </c>
      <c r="MS501">
        <v>0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0</v>
      </c>
      <c r="NG501">
        <v>0</v>
      </c>
      <c r="NH501">
        <v>0</v>
      </c>
      <c r="NI501">
        <v>0</v>
      </c>
      <c r="NJ501">
        <v>0</v>
      </c>
      <c r="NK501">
        <v>0</v>
      </c>
      <c r="NL501">
        <v>0</v>
      </c>
      <c r="NM501">
        <v>0</v>
      </c>
      <c r="NN501">
        <v>0</v>
      </c>
      <c r="NO501">
        <v>0</v>
      </c>
      <c r="NP501">
        <v>0</v>
      </c>
      <c r="NQ501">
        <v>0</v>
      </c>
      <c r="NR501">
        <v>0</v>
      </c>
      <c r="NS501">
        <v>0</v>
      </c>
      <c r="NT501">
        <v>0</v>
      </c>
      <c r="NU501">
        <v>0</v>
      </c>
      <c r="NV501">
        <v>0</v>
      </c>
      <c r="NW501">
        <v>6</v>
      </c>
      <c r="NX501">
        <v>0</v>
      </c>
      <c r="NY501">
        <v>0</v>
      </c>
      <c r="NZ501">
        <v>0</v>
      </c>
      <c r="OA501">
        <v>0</v>
      </c>
      <c r="OB501">
        <v>0</v>
      </c>
      <c r="OC501">
        <v>0</v>
      </c>
      <c r="OD501">
        <v>0</v>
      </c>
      <c r="OE501">
        <v>0</v>
      </c>
      <c r="OF501">
        <v>0</v>
      </c>
      <c r="OG501">
        <v>0</v>
      </c>
      <c r="OH501">
        <v>0</v>
      </c>
      <c r="OI501">
        <v>0</v>
      </c>
      <c r="OJ501">
        <v>0</v>
      </c>
      <c r="OK501">
        <v>0</v>
      </c>
      <c r="OL501">
        <v>0</v>
      </c>
      <c r="OM501">
        <v>0</v>
      </c>
      <c r="ON501">
        <v>0</v>
      </c>
      <c r="OO501">
        <v>0</v>
      </c>
      <c r="OP501">
        <v>0</v>
      </c>
      <c r="OQ501">
        <v>0</v>
      </c>
      <c r="OR501">
        <v>0</v>
      </c>
      <c r="OS501">
        <v>0</v>
      </c>
      <c r="OT501">
        <v>0</v>
      </c>
      <c r="OU501">
        <v>0</v>
      </c>
      <c r="OV501">
        <v>0</v>
      </c>
      <c r="OW501">
        <v>0</v>
      </c>
      <c r="OX501">
        <v>0</v>
      </c>
      <c r="OY501">
        <v>0</v>
      </c>
      <c r="OZ501">
        <v>0</v>
      </c>
      <c r="PA501">
        <v>0</v>
      </c>
      <c r="PB501">
        <v>0</v>
      </c>
      <c r="PC501">
        <v>0</v>
      </c>
      <c r="PD501">
        <v>0</v>
      </c>
      <c r="PE501">
        <v>0</v>
      </c>
      <c r="PF501">
        <v>0</v>
      </c>
      <c r="PG501">
        <v>0</v>
      </c>
      <c r="PH501">
        <v>0</v>
      </c>
      <c r="PI501">
        <v>0</v>
      </c>
      <c r="PJ501">
        <v>0</v>
      </c>
      <c r="PK501">
        <v>0</v>
      </c>
      <c r="PL501">
        <v>0</v>
      </c>
      <c r="PM501">
        <v>0</v>
      </c>
      <c r="PN501">
        <v>0</v>
      </c>
      <c r="PO501">
        <v>0</v>
      </c>
      <c r="PP501">
        <v>0</v>
      </c>
      <c r="PQ501">
        <v>0</v>
      </c>
      <c r="PR501">
        <v>0</v>
      </c>
      <c r="PS501">
        <v>0</v>
      </c>
      <c r="PT501">
        <v>0</v>
      </c>
      <c r="PU501">
        <v>0</v>
      </c>
      <c r="PV501">
        <v>0</v>
      </c>
      <c r="PW501">
        <v>0</v>
      </c>
      <c r="PX501">
        <v>0</v>
      </c>
      <c r="PY501">
        <v>0</v>
      </c>
      <c r="PZ501">
        <v>0</v>
      </c>
      <c r="QA501">
        <v>0</v>
      </c>
      <c r="QB501">
        <v>0</v>
      </c>
      <c r="QC501">
        <v>0</v>
      </c>
      <c r="QD501">
        <v>0</v>
      </c>
      <c r="QE501">
        <v>0</v>
      </c>
      <c r="QF501">
        <v>0</v>
      </c>
      <c r="QG501">
        <v>0</v>
      </c>
      <c r="QH501">
        <v>0</v>
      </c>
      <c r="QI501">
        <v>0</v>
      </c>
      <c r="QJ501">
        <v>0</v>
      </c>
      <c r="QK501">
        <v>0</v>
      </c>
      <c r="QL501">
        <v>0</v>
      </c>
      <c r="QM501">
        <v>0</v>
      </c>
      <c r="QN501">
        <v>0</v>
      </c>
      <c r="QO501">
        <v>0</v>
      </c>
      <c r="QP501">
        <v>0</v>
      </c>
      <c r="QQ501">
        <v>0</v>
      </c>
      <c r="QR501">
        <v>0</v>
      </c>
      <c r="QS501">
        <v>0</v>
      </c>
      <c r="QT501">
        <v>0</v>
      </c>
      <c r="QU501">
        <v>0</v>
      </c>
      <c r="QV501">
        <v>0</v>
      </c>
      <c r="QW501">
        <v>0</v>
      </c>
      <c r="QX501">
        <v>0</v>
      </c>
      <c r="QY501">
        <v>0</v>
      </c>
    </row>
    <row r="502" spans="1:467" x14ac:dyDescent="0.4">
      <c r="A502" t="str">
        <f>"9784065300541"</f>
        <v>9784065300541</v>
      </c>
      <c r="B502" t="str">
        <f>"4065300541"</f>
        <v>4065300541</v>
      </c>
      <c r="C502" t="s">
        <v>2837</v>
      </c>
      <c r="D502" t="s">
        <v>2838</v>
      </c>
      <c r="E502" t="s">
        <v>548</v>
      </c>
      <c r="F502" t="s">
        <v>2839</v>
      </c>
      <c r="G502" t="str">
        <f>"9979"</f>
        <v>9979</v>
      </c>
      <c r="H502" t="s">
        <v>1855</v>
      </c>
      <c r="I502" t="s">
        <v>1856</v>
      </c>
      <c r="J502" t="s">
        <v>1856</v>
      </c>
      <c r="L502" s="1">
        <v>44901</v>
      </c>
      <c r="M502">
        <v>660</v>
      </c>
      <c r="N502">
        <v>6</v>
      </c>
      <c r="O502">
        <v>6</v>
      </c>
      <c r="P502">
        <v>6</v>
      </c>
      <c r="Q502">
        <v>6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1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1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1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1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0</v>
      </c>
      <c r="NK502">
        <v>0</v>
      </c>
      <c r="NL502">
        <v>0</v>
      </c>
      <c r="NM502">
        <v>0</v>
      </c>
      <c r="NN502">
        <v>0</v>
      </c>
      <c r="NO502">
        <v>0</v>
      </c>
      <c r="NP502">
        <v>0</v>
      </c>
      <c r="NQ502">
        <v>0</v>
      </c>
      <c r="NR502">
        <v>0</v>
      </c>
      <c r="NS502">
        <v>0</v>
      </c>
      <c r="NT502">
        <v>0</v>
      </c>
      <c r="NU502">
        <v>0</v>
      </c>
      <c r="NV502">
        <v>0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C502">
        <v>0</v>
      </c>
      <c r="OD502">
        <v>0</v>
      </c>
      <c r="OE502">
        <v>0</v>
      </c>
      <c r="OF502">
        <v>0</v>
      </c>
      <c r="OG502">
        <v>0</v>
      </c>
      <c r="OH502">
        <v>0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0</v>
      </c>
      <c r="PB502">
        <v>0</v>
      </c>
      <c r="PC502">
        <v>0</v>
      </c>
      <c r="PD502">
        <v>0</v>
      </c>
      <c r="PE502">
        <v>0</v>
      </c>
      <c r="PF502">
        <v>0</v>
      </c>
      <c r="PG502">
        <v>0</v>
      </c>
      <c r="PH502">
        <v>0</v>
      </c>
      <c r="PI502">
        <v>0</v>
      </c>
      <c r="PJ502">
        <v>0</v>
      </c>
      <c r="PK502">
        <v>0</v>
      </c>
      <c r="PL502">
        <v>0</v>
      </c>
      <c r="PM502">
        <v>0</v>
      </c>
      <c r="PN502">
        <v>0</v>
      </c>
      <c r="PO502">
        <v>0</v>
      </c>
      <c r="PP502">
        <v>0</v>
      </c>
      <c r="PQ502">
        <v>0</v>
      </c>
      <c r="PR502">
        <v>0</v>
      </c>
      <c r="PS502">
        <v>1</v>
      </c>
      <c r="PT502">
        <v>0</v>
      </c>
      <c r="PU502">
        <v>0</v>
      </c>
      <c r="PV502">
        <v>0</v>
      </c>
      <c r="PW502">
        <v>0</v>
      </c>
      <c r="PX502">
        <v>0</v>
      </c>
      <c r="PY502">
        <v>0</v>
      </c>
      <c r="PZ502">
        <v>0</v>
      </c>
      <c r="QA502">
        <v>0</v>
      </c>
      <c r="QB502">
        <v>0</v>
      </c>
      <c r="QC502">
        <v>0</v>
      </c>
      <c r="QD502">
        <v>0</v>
      </c>
      <c r="QE502">
        <v>0</v>
      </c>
      <c r="QF502">
        <v>0</v>
      </c>
      <c r="QG502">
        <v>0</v>
      </c>
      <c r="QH502">
        <v>0</v>
      </c>
      <c r="QI502">
        <v>1</v>
      </c>
      <c r="QJ502">
        <v>0</v>
      </c>
      <c r="QK502">
        <v>0</v>
      </c>
      <c r="QL502">
        <v>0</v>
      </c>
      <c r="QM502">
        <v>0</v>
      </c>
      <c r="QN502">
        <v>0</v>
      </c>
      <c r="QO502">
        <v>0</v>
      </c>
      <c r="QP502">
        <v>0</v>
      </c>
      <c r="QQ502">
        <v>0</v>
      </c>
      <c r="QR502">
        <v>0</v>
      </c>
      <c r="QS502">
        <v>0</v>
      </c>
      <c r="QT502">
        <v>0</v>
      </c>
      <c r="QU502">
        <v>0</v>
      </c>
      <c r="QV502">
        <v>0</v>
      </c>
      <c r="QW502">
        <v>0</v>
      </c>
      <c r="QX502">
        <v>0</v>
      </c>
      <c r="QY502">
        <v>0</v>
      </c>
    </row>
    <row r="503" spans="1:467" hidden="1" x14ac:dyDescent="0.4">
      <c r="A503" t="str">
        <f>"9784120052989"</f>
        <v>9784120052989</v>
      </c>
      <c r="B503" t="str">
        <f>"4120052982"</f>
        <v>4120052982</v>
      </c>
      <c r="C503" t="s">
        <v>2840</v>
      </c>
      <c r="D503" t="s">
        <v>924</v>
      </c>
      <c r="E503" t="s">
        <v>540</v>
      </c>
      <c r="G503" t="str">
        <f>"0093"</f>
        <v>0093</v>
      </c>
      <c r="H503" t="s">
        <v>481</v>
      </c>
      <c r="I503" t="s">
        <v>1893</v>
      </c>
      <c r="J503" t="s">
        <v>488</v>
      </c>
      <c r="L503" s="1">
        <v>43941</v>
      </c>
      <c r="M503">
        <v>1600</v>
      </c>
      <c r="N503">
        <v>6</v>
      </c>
      <c r="O503">
        <v>5</v>
      </c>
      <c r="P503">
        <v>6</v>
      </c>
      <c r="Q503">
        <v>5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1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1</v>
      </c>
      <c r="JN503">
        <v>0</v>
      </c>
      <c r="JO503">
        <v>0</v>
      </c>
      <c r="JP503">
        <v>0</v>
      </c>
      <c r="JQ503">
        <v>1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  <c r="NK503">
        <v>0</v>
      </c>
      <c r="NL503">
        <v>0</v>
      </c>
      <c r="NM503">
        <v>0</v>
      </c>
      <c r="NN503">
        <v>0</v>
      </c>
      <c r="NO503">
        <v>0</v>
      </c>
      <c r="NP503">
        <v>0</v>
      </c>
      <c r="NQ503">
        <v>0</v>
      </c>
      <c r="NR503">
        <v>1</v>
      </c>
      <c r="NS503">
        <v>0</v>
      </c>
      <c r="NT503">
        <v>0</v>
      </c>
      <c r="NU503">
        <v>0</v>
      </c>
      <c r="NV503">
        <v>0</v>
      </c>
      <c r="NW503">
        <v>0</v>
      </c>
      <c r="NX503">
        <v>0</v>
      </c>
      <c r="NY503">
        <v>0</v>
      </c>
      <c r="NZ503">
        <v>0</v>
      </c>
      <c r="OA503">
        <v>0</v>
      </c>
      <c r="OB503">
        <v>0</v>
      </c>
      <c r="OC503">
        <v>0</v>
      </c>
      <c r="OD503">
        <v>2</v>
      </c>
      <c r="OE503">
        <v>0</v>
      </c>
      <c r="OF503">
        <v>0</v>
      </c>
      <c r="OG503">
        <v>0</v>
      </c>
      <c r="OH503">
        <v>0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0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0</v>
      </c>
      <c r="PB503">
        <v>0</v>
      </c>
      <c r="PC503">
        <v>0</v>
      </c>
      <c r="PD503">
        <v>0</v>
      </c>
      <c r="PE503">
        <v>0</v>
      </c>
      <c r="PF503">
        <v>0</v>
      </c>
      <c r="PG503">
        <v>0</v>
      </c>
      <c r="PH503">
        <v>0</v>
      </c>
      <c r="PI503">
        <v>0</v>
      </c>
      <c r="PJ503">
        <v>0</v>
      </c>
      <c r="PK503">
        <v>0</v>
      </c>
      <c r="PL503">
        <v>0</v>
      </c>
      <c r="PM503">
        <v>0</v>
      </c>
      <c r="PN503">
        <v>0</v>
      </c>
      <c r="PO503">
        <v>0</v>
      </c>
      <c r="PP503">
        <v>0</v>
      </c>
      <c r="PQ503">
        <v>0</v>
      </c>
      <c r="PR503">
        <v>0</v>
      </c>
      <c r="PS503">
        <v>0</v>
      </c>
      <c r="PT503">
        <v>0</v>
      </c>
      <c r="PU503">
        <v>0</v>
      </c>
      <c r="PV503">
        <v>0</v>
      </c>
      <c r="PW503">
        <v>0</v>
      </c>
      <c r="PX503">
        <v>0</v>
      </c>
      <c r="PY503">
        <v>0</v>
      </c>
      <c r="PZ503">
        <v>0</v>
      </c>
      <c r="QA503">
        <v>0</v>
      </c>
      <c r="QB503">
        <v>0</v>
      </c>
      <c r="QC503">
        <v>0</v>
      </c>
      <c r="QD503">
        <v>0</v>
      </c>
      <c r="QE503">
        <v>0</v>
      </c>
      <c r="QF503">
        <v>0</v>
      </c>
      <c r="QG503">
        <v>0</v>
      </c>
      <c r="QH503">
        <v>0</v>
      </c>
      <c r="QI503">
        <v>0</v>
      </c>
      <c r="QJ503">
        <v>0</v>
      </c>
      <c r="QK503">
        <v>0</v>
      </c>
      <c r="QL503">
        <v>0</v>
      </c>
      <c r="QM503">
        <v>0</v>
      </c>
      <c r="QN503">
        <v>0</v>
      </c>
      <c r="QO503">
        <v>0</v>
      </c>
      <c r="QP503">
        <v>0</v>
      </c>
      <c r="QQ503">
        <v>0</v>
      </c>
      <c r="QR503">
        <v>0</v>
      </c>
      <c r="QS503">
        <v>0</v>
      </c>
      <c r="QT503">
        <v>0</v>
      </c>
      <c r="QU503">
        <v>0</v>
      </c>
      <c r="QV503">
        <v>0</v>
      </c>
      <c r="QW503">
        <v>0</v>
      </c>
      <c r="QX503">
        <v>0</v>
      </c>
      <c r="QY503">
        <v>0</v>
      </c>
    </row>
    <row r="504" spans="1:467" hidden="1" x14ac:dyDescent="0.4">
      <c r="A504" t="str">
        <f>"9784065282489"</f>
        <v>9784065282489</v>
      </c>
      <c r="B504" t="str">
        <f>"4065282489"</f>
        <v>4065282489</v>
      </c>
      <c r="C504" t="s">
        <v>2841</v>
      </c>
      <c r="D504" t="s">
        <v>1347</v>
      </c>
      <c r="E504" t="s">
        <v>548</v>
      </c>
      <c r="G504" t="str">
        <f>"0093"</f>
        <v>0093</v>
      </c>
      <c r="H504" t="s">
        <v>481</v>
      </c>
      <c r="I504" t="s">
        <v>1893</v>
      </c>
      <c r="J504" t="s">
        <v>488</v>
      </c>
      <c r="L504" s="1">
        <v>44747</v>
      </c>
      <c r="M504">
        <v>1450</v>
      </c>
      <c r="N504">
        <v>6</v>
      </c>
      <c r="O504">
        <v>5</v>
      </c>
      <c r="P504">
        <v>6</v>
      </c>
      <c r="Q504">
        <v>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1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2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1</v>
      </c>
      <c r="JN504">
        <v>0</v>
      </c>
      <c r="JO504">
        <v>0</v>
      </c>
      <c r="JP504">
        <v>0</v>
      </c>
      <c r="JQ504">
        <v>1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1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0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  <c r="NG504">
        <v>0</v>
      </c>
      <c r="NH504">
        <v>0</v>
      </c>
      <c r="NI504">
        <v>0</v>
      </c>
      <c r="NJ504">
        <v>0</v>
      </c>
      <c r="NK504">
        <v>0</v>
      </c>
      <c r="NL504">
        <v>0</v>
      </c>
      <c r="NM504">
        <v>0</v>
      </c>
      <c r="NN504">
        <v>0</v>
      </c>
      <c r="NO504">
        <v>0</v>
      </c>
      <c r="NP504">
        <v>0</v>
      </c>
      <c r="NQ504">
        <v>0</v>
      </c>
      <c r="NR504">
        <v>0</v>
      </c>
      <c r="NS504">
        <v>0</v>
      </c>
      <c r="NT504">
        <v>0</v>
      </c>
      <c r="NU504">
        <v>0</v>
      </c>
      <c r="NV504">
        <v>0</v>
      </c>
      <c r="NW504">
        <v>0</v>
      </c>
      <c r="NX504">
        <v>0</v>
      </c>
      <c r="NY504">
        <v>0</v>
      </c>
      <c r="NZ504">
        <v>0</v>
      </c>
      <c r="OA504">
        <v>0</v>
      </c>
      <c r="OB504">
        <v>0</v>
      </c>
      <c r="OC504">
        <v>0</v>
      </c>
      <c r="OD504">
        <v>0</v>
      </c>
      <c r="OE504">
        <v>0</v>
      </c>
      <c r="OF504">
        <v>0</v>
      </c>
      <c r="OG504">
        <v>0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0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0</v>
      </c>
      <c r="PB504">
        <v>0</v>
      </c>
      <c r="PC504">
        <v>0</v>
      </c>
      <c r="PD504">
        <v>0</v>
      </c>
      <c r="PE504">
        <v>0</v>
      </c>
      <c r="PF504">
        <v>0</v>
      </c>
      <c r="PG504">
        <v>0</v>
      </c>
      <c r="PH504">
        <v>0</v>
      </c>
      <c r="PI504">
        <v>0</v>
      </c>
      <c r="PJ504">
        <v>0</v>
      </c>
      <c r="PK504">
        <v>0</v>
      </c>
      <c r="PL504">
        <v>0</v>
      </c>
      <c r="PM504">
        <v>0</v>
      </c>
      <c r="PN504">
        <v>0</v>
      </c>
      <c r="PO504">
        <v>0</v>
      </c>
      <c r="PP504">
        <v>0</v>
      </c>
      <c r="PQ504">
        <v>0</v>
      </c>
      <c r="PR504">
        <v>0</v>
      </c>
      <c r="PS504">
        <v>0</v>
      </c>
      <c r="PT504">
        <v>0</v>
      </c>
      <c r="PU504">
        <v>0</v>
      </c>
      <c r="PV504">
        <v>0</v>
      </c>
      <c r="PW504">
        <v>0</v>
      </c>
      <c r="PX504">
        <v>0</v>
      </c>
      <c r="PY504">
        <v>0</v>
      </c>
      <c r="PZ504">
        <v>0</v>
      </c>
      <c r="QA504">
        <v>0</v>
      </c>
      <c r="QB504">
        <v>0</v>
      </c>
      <c r="QC504">
        <v>0</v>
      </c>
      <c r="QD504">
        <v>0</v>
      </c>
      <c r="QE504">
        <v>0</v>
      </c>
      <c r="QF504">
        <v>0</v>
      </c>
      <c r="QG504">
        <v>0</v>
      </c>
      <c r="QH504">
        <v>0</v>
      </c>
      <c r="QI504">
        <v>0</v>
      </c>
      <c r="QJ504">
        <v>0</v>
      </c>
      <c r="QK504">
        <v>0</v>
      </c>
      <c r="QL504">
        <v>0</v>
      </c>
      <c r="QM504">
        <v>0</v>
      </c>
      <c r="QN504">
        <v>0</v>
      </c>
      <c r="QO504">
        <v>0</v>
      </c>
      <c r="QP504">
        <v>0</v>
      </c>
      <c r="QQ504">
        <v>0</v>
      </c>
      <c r="QR504">
        <v>0</v>
      </c>
      <c r="QS504">
        <v>0</v>
      </c>
      <c r="QT504">
        <v>0</v>
      </c>
      <c r="QU504">
        <v>0</v>
      </c>
      <c r="QV504">
        <v>0</v>
      </c>
      <c r="QW504">
        <v>0</v>
      </c>
      <c r="QX504">
        <v>0</v>
      </c>
      <c r="QY504">
        <v>0</v>
      </c>
    </row>
    <row r="505" spans="1:467" x14ac:dyDescent="0.4">
      <c r="A505" t="str">
        <f>"9784088447056"</f>
        <v>9784088447056</v>
      </c>
      <c r="B505" t="str">
        <f>"4088447050"</f>
        <v>4088447050</v>
      </c>
      <c r="C505" t="s">
        <v>2842</v>
      </c>
      <c r="D505" t="s">
        <v>2843</v>
      </c>
      <c r="E505" t="s">
        <v>536</v>
      </c>
      <c r="F505" t="s">
        <v>2844</v>
      </c>
      <c r="G505" t="str">
        <f>"9979"</f>
        <v>9979</v>
      </c>
      <c r="H505" t="s">
        <v>1855</v>
      </c>
      <c r="I505" t="s">
        <v>1856</v>
      </c>
      <c r="J505" t="s">
        <v>1856</v>
      </c>
      <c r="L505" s="1">
        <v>44918</v>
      </c>
      <c r="M505">
        <v>480</v>
      </c>
      <c r="N505">
        <v>6</v>
      </c>
      <c r="O505">
        <v>6</v>
      </c>
      <c r="P505">
        <v>6</v>
      </c>
      <c r="Q505">
        <v>6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1</v>
      </c>
      <c r="AR505">
        <v>0</v>
      </c>
      <c r="AS505">
        <v>0</v>
      </c>
      <c r="AT505">
        <v>0</v>
      </c>
      <c r="AU505">
        <v>0</v>
      </c>
      <c r="AV505">
        <v>1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1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1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1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1</v>
      </c>
      <c r="NF505">
        <v>0</v>
      </c>
      <c r="NG505">
        <v>0</v>
      </c>
      <c r="NH505">
        <v>0</v>
      </c>
      <c r="NI505">
        <v>0</v>
      </c>
      <c r="NJ505">
        <v>0</v>
      </c>
      <c r="NK505">
        <v>0</v>
      </c>
      <c r="NL505">
        <v>0</v>
      </c>
      <c r="NM505">
        <v>0</v>
      </c>
      <c r="NN505">
        <v>0</v>
      </c>
      <c r="NO505">
        <v>0</v>
      </c>
      <c r="NP505">
        <v>0</v>
      </c>
      <c r="NQ505">
        <v>0</v>
      </c>
      <c r="NR505">
        <v>0</v>
      </c>
      <c r="NS505">
        <v>0</v>
      </c>
      <c r="NT505">
        <v>0</v>
      </c>
      <c r="NU505">
        <v>0</v>
      </c>
      <c r="NV505">
        <v>0</v>
      </c>
      <c r="NW505">
        <v>0</v>
      </c>
      <c r="NX505">
        <v>0</v>
      </c>
      <c r="NY505">
        <v>0</v>
      </c>
      <c r="NZ505">
        <v>0</v>
      </c>
      <c r="OA505">
        <v>0</v>
      </c>
      <c r="OB505">
        <v>0</v>
      </c>
      <c r="OC505">
        <v>0</v>
      </c>
      <c r="OD505">
        <v>0</v>
      </c>
      <c r="OE505">
        <v>0</v>
      </c>
      <c r="OF505">
        <v>0</v>
      </c>
      <c r="OG505">
        <v>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0</v>
      </c>
      <c r="PB505">
        <v>0</v>
      </c>
      <c r="PC505">
        <v>0</v>
      </c>
      <c r="PD505">
        <v>0</v>
      </c>
      <c r="PE505">
        <v>0</v>
      </c>
      <c r="PF505">
        <v>0</v>
      </c>
      <c r="PG505">
        <v>0</v>
      </c>
      <c r="PH505">
        <v>0</v>
      </c>
      <c r="PI505">
        <v>0</v>
      </c>
      <c r="PJ505">
        <v>0</v>
      </c>
      <c r="PK505">
        <v>0</v>
      </c>
      <c r="PL505">
        <v>0</v>
      </c>
      <c r="PM505">
        <v>0</v>
      </c>
      <c r="PN505">
        <v>0</v>
      </c>
      <c r="PO505">
        <v>0</v>
      </c>
      <c r="PP505">
        <v>0</v>
      </c>
      <c r="PQ505">
        <v>0</v>
      </c>
      <c r="PR505">
        <v>0</v>
      </c>
      <c r="PS505">
        <v>0</v>
      </c>
      <c r="PT505">
        <v>0</v>
      </c>
      <c r="PU505">
        <v>0</v>
      </c>
      <c r="PV505">
        <v>0</v>
      </c>
      <c r="PW505">
        <v>0</v>
      </c>
      <c r="PX505">
        <v>0</v>
      </c>
      <c r="PY505">
        <v>0</v>
      </c>
      <c r="PZ505">
        <v>0</v>
      </c>
      <c r="QA505">
        <v>0</v>
      </c>
      <c r="QB505">
        <v>0</v>
      </c>
      <c r="QC505">
        <v>0</v>
      </c>
      <c r="QD505">
        <v>0</v>
      </c>
      <c r="QE505">
        <v>0</v>
      </c>
      <c r="QF505">
        <v>0</v>
      </c>
      <c r="QG505">
        <v>0</v>
      </c>
      <c r="QH505">
        <v>0</v>
      </c>
      <c r="QI505">
        <v>0</v>
      </c>
      <c r="QJ505">
        <v>0</v>
      </c>
      <c r="QK505">
        <v>0</v>
      </c>
      <c r="QL505">
        <v>0</v>
      </c>
      <c r="QM505">
        <v>0</v>
      </c>
      <c r="QN505">
        <v>0</v>
      </c>
      <c r="QO505">
        <v>0</v>
      </c>
      <c r="QP505">
        <v>0</v>
      </c>
      <c r="QQ505">
        <v>0</v>
      </c>
      <c r="QR505">
        <v>0</v>
      </c>
      <c r="QS505">
        <v>0</v>
      </c>
      <c r="QT505">
        <v>0</v>
      </c>
      <c r="QU505">
        <v>0</v>
      </c>
      <c r="QV505">
        <v>0</v>
      </c>
      <c r="QW505">
        <v>0</v>
      </c>
      <c r="QX505">
        <v>0</v>
      </c>
      <c r="QY505">
        <v>0</v>
      </c>
    </row>
    <row r="506" spans="1:467" hidden="1" x14ac:dyDescent="0.4">
      <c r="A506" t="str">
        <f>"9784469222753"</f>
        <v>9784469222753</v>
      </c>
      <c r="B506" t="str">
        <f>"4469222755"</f>
        <v>4469222755</v>
      </c>
      <c r="C506" t="s">
        <v>2845</v>
      </c>
      <c r="D506" t="s">
        <v>2846</v>
      </c>
      <c r="E506" t="s">
        <v>1977</v>
      </c>
      <c r="G506" t="str">
        <f>"3091"</f>
        <v>3091</v>
      </c>
      <c r="H506" t="s">
        <v>761</v>
      </c>
      <c r="I506" t="s">
        <v>1893</v>
      </c>
      <c r="J506" t="s">
        <v>558</v>
      </c>
      <c r="L506" s="1">
        <v>44785</v>
      </c>
      <c r="M506">
        <v>2000</v>
      </c>
      <c r="N506">
        <v>6</v>
      </c>
      <c r="O506">
        <v>6</v>
      </c>
      <c r="P506">
        <v>6</v>
      </c>
      <c r="Q506">
        <v>6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1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1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1</v>
      </c>
      <c r="JN506">
        <v>0</v>
      </c>
      <c r="JO506">
        <v>0</v>
      </c>
      <c r="JP506">
        <v>1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1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0</v>
      </c>
      <c r="ND506">
        <v>0</v>
      </c>
      <c r="NE506">
        <v>1</v>
      </c>
      <c r="NF506">
        <v>0</v>
      </c>
      <c r="NG506">
        <v>0</v>
      </c>
      <c r="NH506">
        <v>0</v>
      </c>
      <c r="NI506">
        <v>0</v>
      </c>
      <c r="NJ506">
        <v>0</v>
      </c>
      <c r="NK506">
        <v>0</v>
      </c>
      <c r="NL506">
        <v>0</v>
      </c>
      <c r="NM506">
        <v>0</v>
      </c>
      <c r="NN506">
        <v>0</v>
      </c>
      <c r="NO506">
        <v>0</v>
      </c>
      <c r="NP506">
        <v>0</v>
      </c>
      <c r="NQ506">
        <v>0</v>
      </c>
      <c r="NR506">
        <v>0</v>
      </c>
      <c r="NS506">
        <v>0</v>
      </c>
      <c r="NT506">
        <v>0</v>
      </c>
      <c r="NU506">
        <v>0</v>
      </c>
      <c r="NV506">
        <v>0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C506">
        <v>0</v>
      </c>
      <c r="OD506">
        <v>0</v>
      </c>
      <c r="OE506">
        <v>0</v>
      </c>
      <c r="OF506">
        <v>0</v>
      </c>
      <c r="OG506">
        <v>0</v>
      </c>
      <c r="OH506">
        <v>0</v>
      </c>
      <c r="OI506">
        <v>0</v>
      </c>
      <c r="OJ506">
        <v>0</v>
      </c>
      <c r="OK506">
        <v>0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0</v>
      </c>
      <c r="PB506">
        <v>0</v>
      </c>
      <c r="PC506">
        <v>0</v>
      </c>
      <c r="PD506">
        <v>0</v>
      </c>
      <c r="PE506">
        <v>0</v>
      </c>
      <c r="PF506">
        <v>0</v>
      </c>
      <c r="PG506">
        <v>0</v>
      </c>
      <c r="PH506">
        <v>0</v>
      </c>
      <c r="PI506">
        <v>0</v>
      </c>
      <c r="PJ506">
        <v>0</v>
      </c>
      <c r="PK506">
        <v>0</v>
      </c>
      <c r="PL506">
        <v>0</v>
      </c>
      <c r="PM506">
        <v>0</v>
      </c>
      <c r="PN506">
        <v>0</v>
      </c>
      <c r="PO506">
        <v>0</v>
      </c>
      <c r="PP506">
        <v>0</v>
      </c>
      <c r="PQ506">
        <v>0</v>
      </c>
      <c r="PR506">
        <v>0</v>
      </c>
      <c r="PS506">
        <v>0</v>
      </c>
      <c r="PT506">
        <v>0</v>
      </c>
      <c r="PU506">
        <v>0</v>
      </c>
      <c r="PV506">
        <v>0</v>
      </c>
      <c r="PW506">
        <v>0</v>
      </c>
      <c r="PX506">
        <v>0</v>
      </c>
      <c r="PY506">
        <v>0</v>
      </c>
      <c r="PZ506">
        <v>0</v>
      </c>
      <c r="QA506">
        <v>0</v>
      </c>
      <c r="QB506">
        <v>0</v>
      </c>
      <c r="QC506">
        <v>0</v>
      </c>
      <c r="QD506">
        <v>0</v>
      </c>
      <c r="QE506">
        <v>0</v>
      </c>
      <c r="QF506">
        <v>0</v>
      </c>
      <c r="QG506">
        <v>0</v>
      </c>
      <c r="QH506">
        <v>0</v>
      </c>
      <c r="QI506">
        <v>0</v>
      </c>
      <c r="QJ506">
        <v>0</v>
      </c>
      <c r="QK506">
        <v>0</v>
      </c>
      <c r="QL506">
        <v>0</v>
      </c>
      <c r="QM506">
        <v>0</v>
      </c>
      <c r="QN506">
        <v>0</v>
      </c>
      <c r="QO506">
        <v>0</v>
      </c>
      <c r="QP506">
        <v>0</v>
      </c>
      <c r="QQ506">
        <v>0</v>
      </c>
      <c r="QR506">
        <v>0</v>
      </c>
      <c r="QS506">
        <v>0</v>
      </c>
      <c r="QT506">
        <v>0</v>
      </c>
      <c r="QU506">
        <v>0</v>
      </c>
      <c r="QV506">
        <v>0</v>
      </c>
      <c r="QW506">
        <v>0</v>
      </c>
      <c r="QX506">
        <v>0</v>
      </c>
      <c r="QY506">
        <v>0</v>
      </c>
    </row>
    <row r="507" spans="1:467" hidden="1" x14ac:dyDescent="0.4">
      <c r="A507" t="str">
        <f>"9784533151279"</f>
        <v>9784533151279</v>
      </c>
      <c r="B507" t="str">
        <f>"4533151272"</f>
        <v>4533151272</v>
      </c>
      <c r="C507" t="s">
        <v>2847</v>
      </c>
      <c r="E507" t="s">
        <v>2312</v>
      </c>
      <c r="F507" t="s">
        <v>2313</v>
      </c>
      <c r="G507" t="str">
        <f>"9426"</f>
        <v>9426</v>
      </c>
      <c r="H507" t="s">
        <v>1855</v>
      </c>
      <c r="I507" t="s">
        <v>1884</v>
      </c>
      <c r="J507" t="s">
        <v>2110</v>
      </c>
      <c r="L507" s="1">
        <v>44845</v>
      </c>
      <c r="M507">
        <v>980</v>
      </c>
      <c r="N507">
        <v>6</v>
      </c>
      <c r="O507">
        <v>6</v>
      </c>
      <c r="P507">
        <v>6</v>
      </c>
      <c r="Q507">
        <v>6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1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1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1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1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1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1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  <c r="NG507">
        <v>0</v>
      </c>
      <c r="NH507">
        <v>0</v>
      </c>
      <c r="NI507">
        <v>0</v>
      </c>
      <c r="NJ507">
        <v>0</v>
      </c>
      <c r="NK507">
        <v>0</v>
      </c>
      <c r="NL507">
        <v>0</v>
      </c>
      <c r="NM507">
        <v>0</v>
      </c>
      <c r="NN507">
        <v>0</v>
      </c>
      <c r="NO507">
        <v>0</v>
      </c>
      <c r="NP507">
        <v>0</v>
      </c>
      <c r="NQ507">
        <v>0</v>
      </c>
      <c r="NR507">
        <v>0</v>
      </c>
      <c r="NS507">
        <v>0</v>
      </c>
      <c r="NT507">
        <v>0</v>
      </c>
      <c r="NU507">
        <v>0</v>
      </c>
      <c r="NV507">
        <v>0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C507">
        <v>0</v>
      </c>
      <c r="OD507">
        <v>0</v>
      </c>
      <c r="OE507">
        <v>0</v>
      </c>
      <c r="OF507">
        <v>0</v>
      </c>
      <c r="OG507">
        <v>0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0</v>
      </c>
      <c r="PB507">
        <v>0</v>
      </c>
      <c r="PC507">
        <v>0</v>
      </c>
      <c r="PD507">
        <v>0</v>
      </c>
      <c r="PE507">
        <v>0</v>
      </c>
      <c r="PF507">
        <v>0</v>
      </c>
      <c r="PG507">
        <v>0</v>
      </c>
      <c r="PH507">
        <v>0</v>
      </c>
      <c r="PI507">
        <v>0</v>
      </c>
      <c r="PJ507">
        <v>0</v>
      </c>
      <c r="PK507">
        <v>0</v>
      </c>
      <c r="PL507">
        <v>0</v>
      </c>
      <c r="PM507">
        <v>0</v>
      </c>
      <c r="PN507">
        <v>0</v>
      </c>
      <c r="PO507">
        <v>0</v>
      </c>
      <c r="PP507">
        <v>0</v>
      </c>
      <c r="PQ507">
        <v>0</v>
      </c>
      <c r="PR507">
        <v>0</v>
      </c>
      <c r="PS507">
        <v>0</v>
      </c>
      <c r="PT507">
        <v>0</v>
      </c>
      <c r="PU507">
        <v>0</v>
      </c>
      <c r="PV507">
        <v>0</v>
      </c>
      <c r="PW507">
        <v>0</v>
      </c>
      <c r="PX507">
        <v>0</v>
      </c>
      <c r="PY507">
        <v>0</v>
      </c>
      <c r="PZ507">
        <v>0</v>
      </c>
      <c r="QA507">
        <v>0</v>
      </c>
      <c r="QB507">
        <v>0</v>
      </c>
      <c r="QC507">
        <v>0</v>
      </c>
      <c r="QD507">
        <v>0</v>
      </c>
      <c r="QE507">
        <v>0</v>
      </c>
      <c r="QF507">
        <v>0</v>
      </c>
      <c r="QG507">
        <v>0</v>
      </c>
      <c r="QH507">
        <v>0</v>
      </c>
      <c r="QI507">
        <v>0</v>
      </c>
      <c r="QJ507">
        <v>0</v>
      </c>
      <c r="QK507">
        <v>0</v>
      </c>
      <c r="QL507">
        <v>0</v>
      </c>
      <c r="QM507">
        <v>0</v>
      </c>
      <c r="QN507">
        <v>0</v>
      </c>
      <c r="QO507">
        <v>0</v>
      </c>
      <c r="QP507">
        <v>0</v>
      </c>
      <c r="QQ507">
        <v>0</v>
      </c>
      <c r="QR507">
        <v>0</v>
      </c>
      <c r="QS507">
        <v>0</v>
      </c>
      <c r="QT507">
        <v>0</v>
      </c>
      <c r="QU507">
        <v>0</v>
      </c>
      <c r="QV507">
        <v>0</v>
      </c>
      <c r="QW507">
        <v>0</v>
      </c>
      <c r="QX507">
        <v>0</v>
      </c>
      <c r="QY507">
        <v>0</v>
      </c>
    </row>
    <row r="508" spans="1:467" x14ac:dyDescent="0.4">
      <c r="A508" t="str">
        <f>"9784065303818"</f>
        <v>9784065303818</v>
      </c>
      <c r="B508" t="str">
        <f>"4065303818"</f>
        <v>4065303818</v>
      </c>
      <c r="C508" t="s">
        <v>2848</v>
      </c>
      <c r="D508" t="s">
        <v>2849</v>
      </c>
      <c r="E508" t="s">
        <v>548</v>
      </c>
      <c r="F508" t="s">
        <v>2839</v>
      </c>
      <c r="G508" t="str">
        <f>"9979"</f>
        <v>9979</v>
      </c>
      <c r="H508" t="s">
        <v>1855</v>
      </c>
      <c r="I508" t="s">
        <v>1856</v>
      </c>
      <c r="J508" t="s">
        <v>1856</v>
      </c>
      <c r="L508" s="1">
        <v>44932</v>
      </c>
      <c r="M508">
        <v>660</v>
      </c>
      <c r="N508">
        <v>6</v>
      </c>
      <c r="O508">
        <v>5</v>
      </c>
      <c r="P508">
        <v>6</v>
      </c>
      <c r="Q508">
        <v>5</v>
      </c>
      <c r="R508">
        <v>0</v>
      </c>
      <c r="S508">
        <v>0</v>
      </c>
      <c r="T508">
        <v>1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1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1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2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1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  <c r="NK508">
        <v>0</v>
      </c>
      <c r="NL508">
        <v>0</v>
      </c>
      <c r="NM508">
        <v>0</v>
      </c>
      <c r="NN508">
        <v>0</v>
      </c>
      <c r="NO508">
        <v>0</v>
      </c>
      <c r="NP508">
        <v>0</v>
      </c>
      <c r="NQ508">
        <v>0</v>
      </c>
      <c r="NR508">
        <v>0</v>
      </c>
      <c r="NS508">
        <v>0</v>
      </c>
      <c r="NT508">
        <v>0</v>
      </c>
      <c r="NU508">
        <v>0</v>
      </c>
      <c r="NV508">
        <v>0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C508">
        <v>0</v>
      </c>
      <c r="OD508">
        <v>0</v>
      </c>
      <c r="OE508">
        <v>0</v>
      </c>
      <c r="OF508">
        <v>0</v>
      </c>
      <c r="OG508">
        <v>0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0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0</v>
      </c>
      <c r="PA508">
        <v>0</v>
      </c>
      <c r="PB508">
        <v>0</v>
      </c>
      <c r="PC508">
        <v>0</v>
      </c>
      <c r="PD508">
        <v>0</v>
      </c>
      <c r="PE508">
        <v>0</v>
      </c>
      <c r="PF508">
        <v>0</v>
      </c>
      <c r="PG508">
        <v>0</v>
      </c>
      <c r="PH508">
        <v>0</v>
      </c>
      <c r="PI508">
        <v>0</v>
      </c>
      <c r="PJ508">
        <v>0</v>
      </c>
      <c r="PK508">
        <v>0</v>
      </c>
      <c r="PL508">
        <v>0</v>
      </c>
      <c r="PM508">
        <v>0</v>
      </c>
      <c r="PN508">
        <v>0</v>
      </c>
      <c r="PO508">
        <v>0</v>
      </c>
      <c r="PP508">
        <v>0</v>
      </c>
      <c r="PQ508">
        <v>0</v>
      </c>
      <c r="PR508">
        <v>0</v>
      </c>
      <c r="PS508">
        <v>0</v>
      </c>
      <c r="PT508">
        <v>0</v>
      </c>
      <c r="PU508">
        <v>0</v>
      </c>
      <c r="PV508">
        <v>0</v>
      </c>
      <c r="PW508">
        <v>0</v>
      </c>
      <c r="PX508">
        <v>0</v>
      </c>
      <c r="PY508">
        <v>0</v>
      </c>
      <c r="PZ508">
        <v>0</v>
      </c>
      <c r="QA508">
        <v>0</v>
      </c>
      <c r="QB508">
        <v>0</v>
      </c>
      <c r="QC508">
        <v>0</v>
      </c>
      <c r="QD508">
        <v>0</v>
      </c>
      <c r="QE508">
        <v>0</v>
      </c>
      <c r="QF508">
        <v>0</v>
      </c>
      <c r="QG508">
        <v>0</v>
      </c>
      <c r="QH508">
        <v>0</v>
      </c>
      <c r="QI508">
        <v>0</v>
      </c>
      <c r="QJ508">
        <v>0</v>
      </c>
      <c r="QK508">
        <v>0</v>
      </c>
      <c r="QL508">
        <v>0</v>
      </c>
      <c r="QM508">
        <v>0</v>
      </c>
      <c r="QN508">
        <v>0</v>
      </c>
      <c r="QO508">
        <v>0</v>
      </c>
      <c r="QP508">
        <v>0</v>
      </c>
      <c r="QQ508">
        <v>0</v>
      </c>
      <c r="QR508">
        <v>0</v>
      </c>
      <c r="QS508">
        <v>0</v>
      </c>
      <c r="QT508">
        <v>0</v>
      </c>
      <c r="QU508">
        <v>0</v>
      </c>
      <c r="QV508">
        <v>0</v>
      </c>
      <c r="QW508">
        <v>0</v>
      </c>
      <c r="QX508">
        <v>0</v>
      </c>
      <c r="QY508">
        <v>0</v>
      </c>
    </row>
    <row r="509" spans="1:467" hidden="1" x14ac:dyDescent="0.4">
      <c r="A509" t="str">
        <f>"9784093567459"</f>
        <v>9784093567459</v>
      </c>
      <c r="B509" t="str">
        <f>"409356745X"</f>
        <v>409356745X</v>
      </c>
      <c r="C509" t="s">
        <v>2850</v>
      </c>
      <c r="D509" t="s">
        <v>637</v>
      </c>
      <c r="E509" t="s">
        <v>1069</v>
      </c>
      <c r="G509" t="str">
        <f>"0097"</f>
        <v>0097</v>
      </c>
      <c r="H509" t="s">
        <v>481</v>
      </c>
      <c r="I509" t="s">
        <v>1893</v>
      </c>
      <c r="J509" t="s">
        <v>564</v>
      </c>
      <c r="L509" s="1">
        <v>44911</v>
      </c>
      <c r="M509">
        <v>2000</v>
      </c>
      <c r="N509">
        <v>6</v>
      </c>
      <c r="O509">
        <v>6</v>
      </c>
      <c r="P509">
        <v>6</v>
      </c>
      <c r="Q509">
        <v>6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1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1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1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1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0</v>
      </c>
      <c r="NK509">
        <v>0</v>
      </c>
      <c r="NL509">
        <v>0</v>
      </c>
      <c r="NM509">
        <v>0</v>
      </c>
      <c r="NN509">
        <v>0</v>
      </c>
      <c r="NO509">
        <v>0</v>
      </c>
      <c r="NP509">
        <v>0</v>
      </c>
      <c r="NQ509">
        <v>0</v>
      </c>
      <c r="NR509">
        <v>0</v>
      </c>
      <c r="NS509">
        <v>0</v>
      </c>
      <c r="NT509">
        <v>0</v>
      </c>
      <c r="NU509">
        <v>0</v>
      </c>
      <c r="NV509">
        <v>0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C509">
        <v>0</v>
      </c>
      <c r="OD509">
        <v>0</v>
      </c>
      <c r="OE509">
        <v>0</v>
      </c>
      <c r="OF509">
        <v>0</v>
      </c>
      <c r="OG509">
        <v>0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0</v>
      </c>
      <c r="OO509">
        <v>0</v>
      </c>
      <c r="OP509">
        <v>0</v>
      </c>
      <c r="OQ509">
        <v>0</v>
      </c>
      <c r="OR509">
        <v>0</v>
      </c>
      <c r="OS509">
        <v>1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0</v>
      </c>
      <c r="PB509">
        <v>0</v>
      </c>
      <c r="PC509">
        <v>0</v>
      </c>
      <c r="PD509">
        <v>0</v>
      </c>
      <c r="PE509">
        <v>0</v>
      </c>
      <c r="PF509">
        <v>0</v>
      </c>
      <c r="PG509">
        <v>0</v>
      </c>
      <c r="PH509">
        <v>0</v>
      </c>
      <c r="PI509">
        <v>0</v>
      </c>
      <c r="PJ509">
        <v>0</v>
      </c>
      <c r="PK509">
        <v>0</v>
      </c>
      <c r="PL509">
        <v>0</v>
      </c>
      <c r="PM509">
        <v>0</v>
      </c>
      <c r="PN509">
        <v>0</v>
      </c>
      <c r="PO509">
        <v>0</v>
      </c>
      <c r="PP509">
        <v>0</v>
      </c>
      <c r="PQ509">
        <v>0</v>
      </c>
      <c r="PR509">
        <v>0</v>
      </c>
      <c r="PS509">
        <v>0</v>
      </c>
      <c r="PT509">
        <v>1</v>
      </c>
      <c r="PU509">
        <v>0</v>
      </c>
      <c r="PV509">
        <v>0</v>
      </c>
      <c r="PW509">
        <v>0</v>
      </c>
      <c r="PX509">
        <v>0</v>
      </c>
      <c r="PY509">
        <v>0</v>
      </c>
      <c r="PZ509">
        <v>0</v>
      </c>
      <c r="QA509">
        <v>0</v>
      </c>
      <c r="QB509">
        <v>0</v>
      </c>
      <c r="QC509">
        <v>0</v>
      </c>
      <c r="QD509">
        <v>0</v>
      </c>
      <c r="QE509">
        <v>0</v>
      </c>
      <c r="QF509">
        <v>0</v>
      </c>
      <c r="QG509">
        <v>0</v>
      </c>
      <c r="QH509">
        <v>0</v>
      </c>
      <c r="QI509">
        <v>0</v>
      </c>
      <c r="QJ509">
        <v>0</v>
      </c>
      <c r="QK509">
        <v>0</v>
      </c>
      <c r="QL509">
        <v>0</v>
      </c>
      <c r="QM509">
        <v>0</v>
      </c>
      <c r="QN509">
        <v>0</v>
      </c>
      <c r="QO509">
        <v>0</v>
      </c>
      <c r="QP509">
        <v>0</v>
      </c>
      <c r="QQ509">
        <v>0</v>
      </c>
      <c r="QR509">
        <v>0</v>
      </c>
      <c r="QS509">
        <v>0</v>
      </c>
      <c r="QT509">
        <v>0</v>
      </c>
      <c r="QU509">
        <v>0</v>
      </c>
      <c r="QV509">
        <v>0</v>
      </c>
      <c r="QW509">
        <v>0</v>
      </c>
      <c r="QX509">
        <v>0</v>
      </c>
      <c r="QY509">
        <v>0</v>
      </c>
    </row>
    <row r="510" spans="1:467" hidden="1" x14ac:dyDescent="0.4">
      <c r="A510" t="str">
        <f>"9784560094662"</f>
        <v>9784560094662</v>
      </c>
      <c r="B510" t="str">
        <f>"4560094667"</f>
        <v>4560094667</v>
      </c>
      <c r="C510" t="s">
        <v>2851</v>
      </c>
      <c r="D510" t="s">
        <v>2852</v>
      </c>
      <c r="E510" t="s">
        <v>839</v>
      </c>
      <c r="G510" t="str">
        <f>"0073"</f>
        <v>0073</v>
      </c>
      <c r="H510" t="s">
        <v>481</v>
      </c>
      <c r="I510" t="s">
        <v>1893</v>
      </c>
      <c r="J510" t="s">
        <v>794</v>
      </c>
      <c r="L510" s="1">
        <v>44860</v>
      </c>
      <c r="M510">
        <v>2800</v>
      </c>
      <c r="N510">
        <v>6</v>
      </c>
      <c r="O510">
        <v>5</v>
      </c>
      <c r="P510">
        <v>6</v>
      </c>
      <c r="Q510">
        <v>5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1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2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1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1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0</v>
      </c>
      <c r="MS510">
        <v>0</v>
      </c>
      <c r="MT510">
        <v>0</v>
      </c>
      <c r="MU510">
        <v>0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0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0</v>
      </c>
      <c r="NK510">
        <v>0</v>
      </c>
      <c r="NL510">
        <v>0</v>
      </c>
      <c r="NM510">
        <v>0</v>
      </c>
      <c r="NN510">
        <v>0</v>
      </c>
      <c r="NO510">
        <v>0</v>
      </c>
      <c r="NP510">
        <v>0</v>
      </c>
      <c r="NQ510">
        <v>0</v>
      </c>
      <c r="NR510">
        <v>0</v>
      </c>
      <c r="NS510">
        <v>0</v>
      </c>
      <c r="NT510">
        <v>0</v>
      </c>
      <c r="NU510">
        <v>0</v>
      </c>
      <c r="NV510">
        <v>0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C510">
        <v>0</v>
      </c>
      <c r="OD510">
        <v>0</v>
      </c>
      <c r="OE510">
        <v>0</v>
      </c>
      <c r="OF510">
        <v>0</v>
      </c>
      <c r="OG510">
        <v>0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0</v>
      </c>
      <c r="PA510">
        <v>0</v>
      </c>
      <c r="PB510">
        <v>0</v>
      </c>
      <c r="PC510">
        <v>0</v>
      </c>
      <c r="PD510">
        <v>0</v>
      </c>
      <c r="PE510">
        <v>0</v>
      </c>
      <c r="PF510">
        <v>0</v>
      </c>
      <c r="PG510">
        <v>0</v>
      </c>
      <c r="PH510">
        <v>0</v>
      </c>
      <c r="PI510">
        <v>0</v>
      </c>
      <c r="PJ510">
        <v>0</v>
      </c>
      <c r="PK510">
        <v>0</v>
      </c>
      <c r="PL510">
        <v>0</v>
      </c>
      <c r="PM510">
        <v>0</v>
      </c>
      <c r="PN510">
        <v>0</v>
      </c>
      <c r="PO510">
        <v>0</v>
      </c>
      <c r="PP510">
        <v>0</v>
      </c>
      <c r="PQ510">
        <v>0</v>
      </c>
      <c r="PR510">
        <v>0</v>
      </c>
      <c r="PS510">
        <v>0</v>
      </c>
      <c r="PT510">
        <v>0</v>
      </c>
      <c r="PU510">
        <v>0</v>
      </c>
      <c r="PV510">
        <v>0</v>
      </c>
      <c r="PW510">
        <v>0</v>
      </c>
      <c r="PX510">
        <v>0</v>
      </c>
      <c r="PY510">
        <v>0</v>
      </c>
      <c r="PZ510">
        <v>0</v>
      </c>
      <c r="QA510">
        <v>0</v>
      </c>
      <c r="QB510">
        <v>0</v>
      </c>
      <c r="QC510">
        <v>0</v>
      </c>
      <c r="QD510">
        <v>0</v>
      </c>
      <c r="QE510">
        <v>0</v>
      </c>
      <c r="QF510">
        <v>0</v>
      </c>
      <c r="QG510">
        <v>0</v>
      </c>
      <c r="QH510">
        <v>0</v>
      </c>
      <c r="QI510">
        <v>0</v>
      </c>
      <c r="QJ510">
        <v>0</v>
      </c>
      <c r="QK510">
        <v>0</v>
      </c>
      <c r="QL510">
        <v>0</v>
      </c>
      <c r="QM510">
        <v>0</v>
      </c>
      <c r="QN510">
        <v>0</v>
      </c>
      <c r="QO510">
        <v>0</v>
      </c>
      <c r="QP510">
        <v>0</v>
      </c>
      <c r="QQ510">
        <v>0</v>
      </c>
      <c r="QR510">
        <v>0</v>
      </c>
      <c r="QS510">
        <v>0</v>
      </c>
      <c r="QT510">
        <v>0</v>
      </c>
      <c r="QU510">
        <v>0</v>
      </c>
      <c r="QV510">
        <v>0</v>
      </c>
      <c r="QW510">
        <v>0</v>
      </c>
      <c r="QX510">
        <v>0</v>
      </c>
      <c r="QY510">
        <v>0</v>
      </c>
    </row>
    <row r="511" spans="1:467" x14ac:dyDescent="0.4">
      <c r="A511" t="str">
        <f>"9784065286500"</f>
        <v>9784065286500</v>
      </c>
      <c r="B511" t="str">
        <f>"4065286506"</f>
        <v>4065286506</v>
      </c>
      <c r="C511" t="s">
        <v>2853</v>
      </c>
      <c r="D511" t="s">
        <v>2008</v>
      </c>
      <c r="E511" t="s">
        <v>548</v>
      </c>
      <c r="F511" t="s">
        <v>2009</v>
      </c>
      <c r="G511" t="str">
        <f>"9979"</f>
        <v>9979</v>
      </c>
      <c r="H511" t="s">
        <v>1855</v>
      </c>
      <c r="I511" t="s">
        <v>1856</v>
      </c>
      <c r="J511" t="s">
        <v>1856</v>
      </c>
      <c r="L511" s="1">
        <v>44764</v>
      </c>
      <c r="M511">
        <v>1100</v>
      </c>
      <c r="N511">
        <v>6</v>
      </c>
      <c r="O511">
        <v>5</v>
      </c>
      <c r="P511">
        <v>6</v>
      </c>
      <c r="Q511">
        <v>5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1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1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1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2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1</v>
      </c>
      <c r="MQ511">
        <v>0</v>
      </c>
      <c r="MR511">
        <v>0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0</v>
      </c>
      <c r="NF511">
        <v>0</v>
      </c>
      <c r="NG511">
        <v>0</v>
      </c>
      <c r="NH511">
        <v>0</v>
      </c>
      <c r="NI511">
        <v>0</v>
      </c>
      <c r="NJ511">
        <v>0</v>
      </c>
      <c r="NK511">
        <v>0</v>
      </c>
      <c r="NL511">
        <v>0</v>
      </c>
      <c r="NM511">
        <v>0</v>
      </c>
      <c r="NN511">
        <v>0</v>
      </c>
      <c r="NO511">
        <v>0</v>
      </c>
      <c r="NP511">
        <v>0</v>
      </c>
      <c r="NQ511">
        <v>0</v>
      </c>
      <c r="NR511">
        <v>0</v>
      </c>
      <c r="NS511">
        <v>0</v>
      </c>
      <c r="NT511">
        <v>0</v>
      </c>
      <c r="NU511">
        <v>0</v>
      </c>
      <c r="NV511">
        <v>0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C511">
        <v>0</v>
      </c>
      <c r="OD511">
        <v>0</v>
      </c>
      <c r="OE511">
        <v>0</v>
      </c>
      <c r="OF511">
        <v>0</v>
      </c>
      <c r="OG511">
        <v>0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0</v>
      </c>
      <c r="PB511">
        <v>0</v>
      </c>
      <c r="PC511">
        <v>0</v>
      </c>
      <c r="PD511">
        <v>0</v>
      </c>
      <c r="PE511">
        <v>0</v>
      </c>
      <c r="PF511">
        <v>0</v>
      </c>
      <c r="PG511">
        <v>0</v>
      </c>
      <c r="PH511">
        <v>0</v>
      </c>
      <c r="PI511">
        <v>0</v>
      </c>
      <c r="PJ511">
        <v>0</v>
      </c>
      <c r="PK511">
        <v>0</v>
      </c>
      <c r="PL511">
        <v>0</v>
      </c>
      <c r="PM511">
        <v>0</v>
      </c>
      <c r="PN511">
        <v>0</v>
      </c>
      <c r="PO511">
        <v>0</v>
      </c>
      <c r="PP511">
        <v>0</v>
      </c>
      <c r="PQ511">
        <v>0</v>
      </c>
      <c r="PR511">
        <v>0</v>
      </c>
      <c r="PS511">
        <v>0</v>
      </c>
      <c r="PT511">
        <v>0</v>
      </c>
      <c r="PU511">
        <v>0</v>
      </c>
      <c r="PV511">
        <v>0</v>
      </c>
      <c r="PW511">
        <v>0</v>
      </c>
      <c r="PX511">
        <v>0</v>
      </c>
      <c r="PY511">
        <v>0</v>
      </c>
      <c r="PZ511">
        <v>0</v>
      </c>
      <c r="QA511">
        <v>0</v>
      </c>
      <c r="QB511">
        <v>0</v>
      </c>
      <c r="QC511">
        <v>0</v>
      </c>
      <c r="QD511">
        <v>0</v>
      </c>
      <c r="QE511">
        <v>0</v>
      </c>
      <c r="QF511">
        <v>0</v>
      </c>
      <c r="QG511">
        <v>0</v>
      </c>
      <c r="QH511">
        <v>0</v>
      </c>
      <c r="QI511">
        <v>0</v>
      </c>
      <c r="QJ511">
        <v>0</v>
      </c>
      <c r="QK511">
        <v>0</v>
      </c>
      <c r="QL511">
        <v>0</v>
      </c>
      <c r="QM511">
        <v>0</v>
      </c>
      <c r="QN511">
        <v>0</v>
      </c>
      <c r="QO511">
        <v>0</v>
      </c>
      <c r="QP511">
        <v>0</v>
      </c>
      <c r="QQ511">
        <v>0</v>
      </c>
      <c r="QR511">
        <v>0</v>
      </c>
      <c r="QS511">
        <v>0</v>
      </c>
      <c r="QT511">
        <v>0</v>
      </c>
      <c r="QU511">
        <v>0</v>
      </c>
      <c r="QV511">
        <v>0</v>
      </c>
      <c r="QW511">
        <v>0</v>
      </c>
      <c r="QX511">
        <v>0</v>
      </c>
      <c r="QY511">
        <v>0</v>
      </c>
    </row>
    <row r="512" spans="1:467" hidden="1" x14ac:dyDescent="0.4">
      <c r="A512" t="str">
        <f>"9784140016688"</f>
        <v>9784140016688</v>
      </c>
      <c r="B512" t="str">
        <f>"414001668X"</f>
        <v>414001668X</v>
      </c>
      <c r="C512" t="s">
        <v>2854</v>
      </c>
      <c r="D512" t="s">
        <v>2855</v>
      </c>
      <c r="E512" t="s">
        <v>480</v>
      </c>
      <c r="F512" t="s">
        <v>2856</v>
      </c>
      <c r="G512" t="str">
        <f>"1371"</f>
        <v>1371</v>
      </c>
      <c r="H512" t="s">
        <v>541</v>
      </c>
      <c r="I512" t="s">
        <v>1877</v>
      </c>
      <c r="J512" t="s">
        <v>1437</v>
      </c>
      <c r="L512" s="1">
        <v>34182</v>
      </c>
      <c r="M512">
        <v>1070</v>
      </c>
      <c r="N512">
        <v>6</v>
      </c>
      <c r="O512">
        <v>6</v>
      </c>
      <c r="P512">
        <v>6</v>
      </c>
      <c r="Q512">
        <v>6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1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1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1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1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1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0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1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0</v>
      </c>
      <c r="MP512">
        <v>0</v>
      </c>
      <c r="MQ512">
        <v>0</v>
      </c>
      <c r="MR512">
        <v>0</v>
      </c>
      <c r="MS512">
        <v>0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0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0</v>
      </c>
      <c r="NK512">
        <v>0</v>
      </c>
      <c r="NL512">
        <v>0</v>
      </c>
      <c r="NM512">
        <v>0</v>
      </c>
      <c r="NN512">
        <v>0</v>
      </c>
      <c r="NO512">
        <v>0</v>
      </c>
      <c r="NP512">
        <v>0</v>
      </c>
      <c r="NQ512">
        <v>0</v>
      </c>
      <c r="NR512">
        <v>0</v>
      </c>
      <c r="NS512">
        <v>0</v>
      </c>
      <c r="NT512">
        <v>0</v>
      </c>
      <c r="NU512">
        <v>0</v>
      </c>
      <c r="NV512">
        <v>0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C512">
        <v>0</v>
      </c>
      <c r="OD512">
        <v>0</v>
      </c>
      <c r="OE512">
        <v>0</v>
      </c>
      <c r="OF512">
        <v>0</v>
      </c>
      <c r="OG512">
        <v>0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0</v>
      </c>
      <c r="PB512">
        <v>0</v>
      </c>
      <c r="PC512">
        <v>0</v>
      </c>
      <c r="PD512">
        <v>0</v>
      </c>
      <c r="PE512">
        <v>0</v>
      </c>
      <c r="PF512">
        <v>0</v>
      </c>
      <c r="PG512">
        <v>0</v>
      </c>
      <c r="PH512">
        <v>0</v>
      </c>
      <c r="PI512">
        <v>0</v>
      </c>
      <c r="PJ512">
        <v>0</v>
      </c>
      <c r="PK512">
        <v>0</v>
      </c>
      <c r="PL512">
        <v>0</v>
      </c>
      <c r="PM512">
        <v>0</v>
      </c>
      <c r="PN512">
        <v>0</v>
      </c>
      <c r="PO512">
        <v>0</v>
      </c>
      <c r="PP512">
        <v>0</v>
      </c>
      <c r="PQ512">
        <v>0</v>
      </c>
      <c r="PR512">
        <v>0</v>
      </c>
      <c r="PS512">
        <v>0</v>
      </c>
      <c r="PT512">
        <v>0</v>
      </c>
      <c r="PU512">
        <v>0</v>
      </c>
      <c r="PV512">
        <v>0</v>
      </c>
      <c r="PW512">
        <v>0</v>
      </c>
      <c r="PX512">
        <v>0</v>
      </c>
      <c r="PY512">
        <v>0</v>
      </c>
      <c r="PZ512">
        <v>0</v>
      </c>
      <c r="QA512">
        <v>0</v>
      </c>
      <c r="QB512">
        <v>0</v>
      </c>
      <c r="QC512">
        <v>0</v>
      </c>
      <c r="QD512">
        <v>0</v>
      </c>
      <c r="QE512">
        <v>0</v>
      </c>
      <c r="QF512">
        <v>0</v>
      </c>
      <c r="QG512">
        <v>0</v>
      </c>
      <c r="QH512">
        <v>0</v>
      </c>
      <c r="QI512">
        <v>0</v>
      </c>
      <c r="QJ512">
        <v>0</v>
      </c>
      <c r="QK512">
        <v>0</v>
      </c>
      <c r="QL512">
        <v>0</v>
      </c>
      <c r="QM512">
        <v>0</v>
      </c>
      <c r="QN512">
        <v>0</v>
      </c>
      <c r="QO512">
        <v>0</v>
      </c>
      <c r="QP512">
        <v>0</v>
      </c>
      <c r="QQ512">
        <v>0</v>
      </c>
      <c r="QR512">
        <v>0</v>
      </c>
      <c r="QS512">
        <v>0</v>
      </c>
      <c r="QT512">
        <v>0</v>
      </c>
      <c r="QU512">
        <v>0</v>
      </c>
      <c r="QV512">
        <v>0</v>
      </c>
      <c r="QW512">
        <v>0</v>
      </c>
      <c r="QX512">
        <v>0</v>
      </c>
      <c r="QY512">
        <v>0</v>
      </c>
    </row>
    <row r="513" spans="1:467" hidden="1" x14ac:dyDescent="0.4">
      <c r="A513" t="str">
        <f>"9784622095576"</f>
        <v>9784622095576</v>
      </c>
      <c r="B513" t="str">
        <f>"4622095572"</f>
        <v>4622095572</v>
      </c>
      <c r="C513" t="s">
        <v>2857</v>
      </c>
      <c r="D513" t="s">
        <v>2858</v>
      </c>
      <c r="E513" t="s">
        <v>2455</v>
      </c>
      <c r="G513" t="str">
        <f>"0095"</f>
        <v>0095</v>
      </c>
      <c r="H513" t="s">
        <v>481</v>
      </c>
      <c r="I513" t="s">
        <v>1893</v>
      </c>
      <c r="J513" t="s">
        <v>509</v>
      </c>
      <c r="L513" s="1">
        <v>44944</v>
      </c>
      <c r="M513">
        <v>3500</v>
      </c>
      <c r="N513">
        <v>6</v>
      </c>
      <c r="O513">
        <v>5</v>
      </c>
      <c r="P513">
        <v>6</v>
      </c>
      <c r="Q513">
        <v>5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1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1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1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2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  <c r="NK513">
        <v>0</v>
      </c>
      <c r="NL513">
        <v>0</v>
      </c>
      <c r="NM513">
        <v>0</v>
      </c>
      <c r="NN513">
        <v>0</v>
      </c>
      <c r="NO513">
        <v>0</v>
      </c>
      <c r="NP513">
        <v>0</v>
      </c>
      <c r="NQ513">
        <v>0</v>
      </c>
      <c r="NR513">
        <v>0</v>
      </c>
      <c r="NS513">
        <v>0</v>
      </c>
      <c r="NT513">
        <v>0</v>
      </c>
      <c r="NU513">
        <v>0</v>
      </c>
      <c r="NV513">
        <v>0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C513">
        <v>0</v>
      </c>
      <c r="OD513">
        <v>0</v>
      </c>
      <c r="OE513">
        <v>0</v>
      </c>
      <c r="OF513">
        <v>0</v>
      </c>
      <c r="OG513">
        <v>0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0</v>
      </c>
      <c r="OU513">
        <v>0</v>
      </c>
      <c r="OV513">
        <v>0</v>
      </c>
      <c r="OW513">
        <v>0</v>
      </c>
      <c r="OX513">
        <v>0</v>
      </c>
      <c r="OY513">
        <v>0</v>
      </c>
      <c r="OZ513">
        <v>0</v>
      </c>
      <c r="PA513">
        <v>0</v>
      </c>
      <c r="PB513">
        <v>0</v>
      </c>
      <c r="PC513">
        <v>0</v>
      </c>
      <c r="PD513">
        <v>0</v>
      </c>
      <c r="PE513">
        <v>0</v>
      </c>
      <c r="PF513">
        <v>0</v>
      </c>
      <c r="PG513">
        <v>0</v>
      </c>
      <c r="PH513">
        <v>0</v>
      </c>
      <c r="PI513">
        <v>0</v>
      </c>
      <c r="PJ513">
        <v>0</v>
      </c>
      <c r="PK513">
        <v>0</v>
      </c>
      <c r="PL513">
        <v>0</v>
      </c>
      <c r="PM513">
        <v>0</v>
      </c>
      <c r="PN513">
        <v>0</v>
      </c>
      <c r="PO513">
        <v>0</v>
      </c>
      <c r="PP513">
        <v>0</v>
      </c>
      <c r="PQ513">
        <v>0</v>
      </c>
      <c r="PR513">
        <v>0</v>
      </c>
      <c r="PS513">
        <v>0</v>
      </c>
      <c r="PT513">
        <v>0</v>
      </c>
      <c r="PU513">
        <v>0</v>
      </c>
      <c r="PV513">
        <v>0</v>
      </c>
      <c r="PW513">
        <v>0</v>
      </c>
      <c r="PX513">
        <v>0</v>
      </c>
      <c r="PY513">
        <v>0</v>
      </c>
      <c r="PZ513">
        <v>0</v>
      </c>
      <c r="QA513">
        <v>0</v>
      </c>
      <c r="QB513">
        <v>0</v>
      </c>
      <c r="QC513">
        <v>0</v>
      </c>
      <c r="QD513">
        <v>0</v>
      </c>
      <c r="QE513">
        <v>0</v>
      </c>
      <c r="QF513">
        <v>0</v>
      </c>
      <c r="QG513">
        <v>0</v>
      </c>
      <c r="QH513">
        <v>0</v>
      </c>
      <c r="QI513">
        <v>0</v>
      </c>
      <c r="QJ513">
        <v>0</v>
      </c>
      <c r="QK513">
        <v>0</v>
      </c>
      <c r="QL513">
        <v>0</v>
      </c>
      <c r="QM513">
        <v>0</v>
      </c>
      <c r="QN513">
        <v>0</v>
      </c>
      <c r="QO513">
        <v>0</v>
      </c>
      <c r="QP513">
        <v>0</v>
      </c>
      <c r="QQ513">
        <v>0</v>
      </c>
      <c r="QR513">
        <v>0</v>
      </c>
      <c r="QS513">
        <v>0</v>
      </c>
      <c r="QT513">
        <v>0</v>
      </c>
      <c r="QU513">
        <v>0</v>
      </c>
      <c r="QV513">
        <v>0</v>
      </c>
      <c r="QW513">
        <v>0</v>
      </c>
      <c r="QX513">
        <v>0</v>
      </c>
      <c r="QY513">
        <v>0</v>
      </c>
    </row>
    <row r="514" spans="1:467" hidden="1" x14ac:dyDescent="0.4">
      <c r="A514" t="str">
        <f>"9784773822090"</f>
        <v>9784773822090</v>
      </c>
      <c r="B514" t="str">
        <f>"4773822090"</f>
        <v>4773822090</v>
      </c>
      <c r="C514" t="s">
        <v>2859</v>
      </c>
      <c r="D514" t="s">
        <v>2860</v>
      </c>
      <c r="E514" t="s">
        <v>2861</v>
      </c>
      <c r="F514" t="s">
        <v>2862</v>
      </c>
      <c r="G514" t="str">
        <f>"0097"</f>
        <v>0097</v>
      </c>
      <c r="H514" t="s">
        <v>481</v>
      </c>
      <c r="I514" t="s">
        <v>1893</v>
      </c>
      <c r="J514" t="s">
        <v>564</v>
      </c>
      <c r="L514" s="1">
        <v>44819</v>
      </c>
      <c r="M514">
        <v>2400</v>
      </c>
      <c r="N514">
        <v>6</v>
      </c>
      <c r="O514">
        <v>4</v>
      </c>
      <c r="P514">
        <v>6</v>
      </c>
      <c r="Q514">
        <v>4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1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3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0</v>
      </c>
      <c r="MR514">
        <v>0</v>
      </c>
      <c r="MS514">
        <v>0</v>
      </c>
      <c r="MT514">
        <v>0</v>
      </c>
      <c r="MU514">
        <v>0</v>
      </c>
      <c r="MV514">
        <v>1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  <c r="NK514">
        <v>0</v>
      </c>
      <c r="NL514">
        <v>0</v>
      </c>
      <c r="NM514">
        <v>0</v>
      </c>
      <c r="NN514">
        <v>0</v>
      </c>
      <c r="NO514">
        <v>0</v>
      </c>
      <c r="NP514">
        <v>0</v>
      </c>
      <c r="NQ514">
        <v>0</v>
      </c>
      <c r="NR514">
        <v>0</v>
      </c>
      <c r="NS514">
        <v>0</v>
      </c>
      <c r="NT514">
        <v>0</v>
      </c>
      <c r="NU514">
        <v>0</v>
      </c>
      <c r="NV514">
        <v>0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C514">
        <v>0</v>
      </c>
      <c r="OD514">
        <v>0</v>
      </c>
      <c r="OE514">
        <v>0</v>
      </c>
      <c r="OF514">
        <v>0</v>
      </c>
      <c r="OG514">
        <v>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0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0</v>
      </c>
      <c r="PB514">
        <v>0</v>
      </c>
      <c r="PC514">
        <v>0</v>
      </c>
      <c r="PD514">
        <v>0</v>
      </c>
      <c r="PE514">
        <v>0</v>
      </c>
      <c r="PF514">
        <v>0</v>
      </c>
      <c r="PG514">
        <v>0</v>
      </c>
      <c r="PH514">
        <v>0</v>
      </c>
      <c r="PI514">
        <v>0</v>
      </c>
      <c r="PJ514">
        <v>0</v>
      </c>
      <c r="PK514">
        <v>0</v>
      </c>
      <c r="PL514">
        <v>0</v>
      </c>
      <c r="PM514">
        <v>0</v>
      </c>
      <c r="PN514">
        <v>0</v>
      </c>
      <c r="PO514">
        <v>0</v>
      </c>
      <c r="PP514">
        <v>0</v>
      </c>
      <c r="PQ514">
        <v>0</v>
      </c>
      <c r="PR514">
        <v>0</v>
      </c>
      <c r="PS514">
        <v>0</v>
      </c>
      <c r="PT514">
        <v>0</v>
      </c>
      <c r="PU514">
        <v>0</v>
      </c>
      <c r="PV514">
        <v>0</v>
      </c>
      <c r="PW514">
        <v>0</v>
      </c>
      <c r="PX514">
        <v>0</v>
      </c>
      <c r="PY514">
        <v>0</v>
      </c>
      <c r="PZ514">
        <v>0</v>
      </c>
      <c r="QA514">
        <v>0</v>
      </c>
      <c r="QB514">
        <v>0</v>
      </c>
      <c r="QC514">
        <v>0</v>
      </c>
      <c r="QD514">
        <v>0</v>
      </c>
      <c r="QE514">
        <v>0</v>
      </c>
      <c r="QF514">
        <v>0</v>
      </c>
      <c r="QG514">
        <v>0</v>
      </c>
      <c r="QH514">
        <v>0</v>
      </c>
      <c r="QI514">
        <v>0</v>
      </c>
      <c r="QJ514">
        <v>0</v>
      </c>
      <c r="QK514">
        <v>0</v>
      </c>
      <c r="QL514">
        <v>0</v>
      </c>
      <c r="QM514">
        <v>0</v>
      </c>
      <c r="QN514">
        <v>0</v>
      </c>
      <c r="QO514">
        <v>0</v>
      </c>
      <c r="QP514">
        <v>0</v>
      </c>
      <c r="QQ514">
        <v>0</v>
      </c>
      <c r="QR514">
        <v>0</v>
      </c>
      <c r="QS514">
        <v>0</v>
      </c>
      <c r="QT514">
        <v>0</v>
      </c>
      <c r="QU514">
        <v>0</v>
      </c>
      <c r="QV514">
        <v>0</v>
      </c>
      <c r="QW514">
        <v>1</v>
      </c>
      <c r="QX514">
        <v>0</v>
      </c>
      <c r="QY514">
        <v>0</v>
      </c>
    </row>
    <row r="515" spans="1:467" x14ac:dyDescent="0.4">
      <c r="A515" t="str">
        <f>"9784088832609"</f>
        <v>9784088832609</v>
      </c>
      <c r="B515" t="str">
        <f>"4088832604"</f>
        <v>4088832604</v>
      </c>
      <c r="C515" t="s">
        <v>2863</v>
      </c>
      <c r="D515" t="s">
        <v>2228</v>
      </c>
      <c r="E515" t="s">
        <v>536</v>
      </c>
      <c r="F515" t="s">
        <v>1854</v>
      </c>
      <c r="G515" t="str">
        <f>"9979"</f>
        <v>9979</v>
      </c>
      <c r="H515" t="s">
        <v>1855</v>
      </c>
      <c r="I515" t="s">
        <v>1856</v>
      </c>
      <c r="J515" t="s">
        <v>1856</v>
      </c>
      <c r="L515" s="1">
        <v>44838</v>
      </c>
      <c r="M515">
        <v>440</v>
      </c>
      <c r="N515">
        <v>6</v>
      </c>
      <c r="O515">
        <v>6</v>
      </c>
      <c r="P515">
        <v>6</v>
      </c>
      <c r="Q515">
        <v>6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1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1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1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1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0</v>
      </c>
      <c r="NL515">
        <v>0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0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C515">
        <v>0</v>
      </c>
      <c r="OD515">
        <v>0</v>
      </c>
      <c r="OE515">
        <v>0</v>
      </c>
      <c r="OF515">
        <v>0</v>
      </c>
      <c r="OG515">
        <v>1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0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1</v>
      </c>
      <c r="PA515">
        <v>0</v>
      </c>
      <c r="PB515">
        <v>0</v>
      </c>
      <c r="PC515">
        <v>0</v>
      </c>
      <c r="PD515">
        <v>0</v>
      </c>
      <c r="PE515">
        <v>0</v>
      </c>
      <c r="PF515">
        <v>0</v>
      </c>
      <c r="PG515">
        <v>0</v>
      </c>
      <c r="PH515">
        <v>0</v>
      </c>
      <c r="PI515">
        <v>0</v>
      </c>
      <c r="PJ515">
        <v>0</v>
      </c>
      <c r="PK515">
        <v>0</v>
      </c>
      <c r="PL515">
        <v>0</v>
      </c>
      <c r="PM515">
        <v>0</v>
      </c>
      <c r="PN515">
        <v>0</v>
      </c>
      <c r="PO515">
        <v>0</v>
      </c>
      <c r="PP515">
        <v>0</v>
      </c>
      <c r="PQ515">
        <v>0</v>
      </c>
      <c r="PR515">
        <v>0</v>
      </c>
      <c r="PS515">
        <v>0</v>
      </c>
      <c r="PT515">
        <v>0</v>
      </c>
      <c r="PU515">
        <v>0</v>
      </c>
      <c r="PV515">
        <v>0</v>
      </c>
      <c r="PW515">
        <v>0</v>
      </c>
      <c r="PX515">
        <v>0</v>
      </c>
      <c r="PY515">
        <v>0</v>
      </c>
      <c r="PZ515">
        <v>0</v>
      </c>
      <c r="QA515">
        <v>0</v>
      </c>
      <c r="QB515">
        <v>0</v>
      </c>
      <c r="QC515">
        <v>0</v>
      </c>
      <c r="QD515">
        <v>0</v>
      </c>
      <c r="QE515">
        <v>0</v>
      </c>
      <c r="QF515">
        <v>0</v>
      </c>
      <c r="QG515">
        <v>0</v>
      </c>
      <c r="QH515">
        <v>0</v>
      </c>
      <c r="QI515">
        <v>0</v>
      </c>
      <c r="QJ515">
        <v>0</v>
      </c>
      <c r="QK515">
        <v>0</v>
      </c>
      <c r="QL515">
        <v>0</v>
      </c>
      <c r="QM515">
        <v>0</v>
      </c>
      <c r="QN515">
        <v>0</v>
      </c>
      <c r="QO515">
        <v>0</v>
      </c>
      <c r="QP515">
        <v>0</v>
      </c>
      <c r="QQ515">
        <v>0</v>
      </c>
      <c r="QR515">
        <v>0</v>
      </c>
      <c r="QS515">
        <v>0</v>
      </c>
      <c r="QT515">
        <v>0</v>
      </c>
      <c r="QU515">
        <v>0</v>
      </c>
      <c r="QV515">
        <v>0</v>
      </c>
      <c r="QW515">
        <v>0</v>
      </c>
      <c r="QX515">
        <v>0</v>
      </c>
      <c r="QY515">
        <v>0</v>
      </c>
    </row>
    <row r="516" spans="1:467" hidden="1" x14ac:dyDescent="0.4">
      <c r="A516" t="str">
        <f>"9784622004813"</f>
        <v>9784622004813</v>
      </c>
      <c r="B516" t="str">
        <f>"462200481X"</f>
        <v>462200481X</v>
      </c>
      <c r="C516" t="s">
        <v>2864</v>
      </c>
      <c r="D516" t="s">
        <v>2398</v>
      </c>
      <c r="E516" t="s">
        <v>2455</v>
      </c>
      <c r="G516" t="str">
        <f>"1098"</f>
        <v>1098</v>
      </c>
      <c r="H516" t="s">
        <v>541</v>
      </c>
      <c r="I516" t="s">
        <v>1893</v>
      </c>
      <c r="J516" t="s">
        <v>1894</v>
      </c>
      <c r="K516" t="s">
        <v>2243</v>
      </c>
      <c r="L516" s="1">
        <v>29160</v>
      </c>
      <c r="M516">
        <v>2600</v>
      </c>
      <c r="N516">
        <v>6</v>
      </c>
      <c r="O516">
        <v>5</v>
      </c>
      <c r="P516">
        <v>6</v>
      </c>
      <c r="Q516">
        <v>5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1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1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2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0</v>
      </c>
      <c r="MS516">
        <v>0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0</v>
      </c>
      <c r="NK516">
        <v>0</v>
      </c>
      <c r="NL516">
        <v>0</v>
      </c>
      <c r="NM516">
        <v>0</v>
      </c>
      <c r="NN516">
        <v>0</v>
      </c>
      <c r="NO516">
        <v>0</v>
      </c>
      <c r="NP516">
        <v>0</v>
      </c>
      <c r="NQ516">
        <v>0</v>
      </c>
      <c r="NR516">
        <v>0</v>
      </c>
      <c r="NS516">
        <v>0</v>
      </c>
      <c r="NT516">
        <v>0</v>
      </c>
      <c r="NU516">
        <v>0</v>
      </c>
      <c r="NV516">
        <v>0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C516">
        <v>0</v>
      </c>
      <c r="OD516">
        <v>0</v>
      </c>
      <c r="OE516">
        <v>0</v>
      </c>
      <c r="OF516">
        <v>0</v>
      </c>
      <c r="OG516">
        <v>1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  <c r="PB516">
        <v>0</v>
      </c>
      <c r="PC516">
        <v>0</v>
      </c>
      <c r="PD516">
        <v>0</v>
      </c>
      <c r="PE516">
        <v>0</v>
      </c>
      <c r="PF516">
        <v>0</v>
      </c>
      <c r="PG516">
        <v>0</v>
      </c>
      <c r="PH516">
        <v>0</v>
      </c>
      <c r="PI516">
        <v>0</v>
      </c>
      <c r="PJ516">
        <v>0</v>
      </c>
      <c r="PK516">
        <v>0</v>
      </c>
      <c r="PL516">
        <v>0</v>
      </c>
      <c r="PM516">
        <v>0</v>
      </c>
      <c r="PN516">
        <v>0</v>
      </c>
      <c r="PO516">
        <v>0</v>
      </c>
      <c r="PP516">
        <v>0</v>
      </c>
      <c r="PQ516">
        <v>0</v>
      </c>
      <c r="PR516">
        <v>0</v>
      </c>
      <c r="PS516">
        <v>0</v>
      </c>
      <c r="PT516">
        <v>0</v>
      </c>
      <c r="PU516">
        <v>0</v>
      </c>
      <c r="PV516">
        <v>0</v>
      </c>
      <c r="PW516">
        <v>0</v>
      </c>
      <c r="PX516">
        <v>0</v>
      </c>
      <c r="PY516">
        <v>0</v>
      </c>
      <c r="PZ516">
        <v>0</v>
      </c>
      <c r="QA516">
        <v>0</v>
      </c>
      <c r="QB516">
        <v>0</v>
      </c>
      <c r="QC516">
        <v>0</v>
      </c>
      <c r="QD516">
        <v>0</v>
      </c>
      <c r="QE516">
        <v>0</v>
      </c>
      <c r="QF516">
        <v>0</v>
      </c>
      <c r="QG516">
        <v>0</v>
      </c>
      <c r="QH516">
        <v>0</v>
      </c>
      <c r="QI516">
        <v>0</v>
      </c>
      <c r="QJ516">
        <v>0</v>
      </c>
      <c r="QK516">
        <v>1</v>
      </c>
      <c r="QL516">
        <v>0</v>
      </c>
      <c r="QM516">
        <v>0</v>
      </c>
      <c r="QN516">
        <v>0</v>
      </c>
      <c r="QO516">
        <v>0</v>
      </c>
      <c r="QP516">
        <v>0</v>
      </c>
      <c r="QQ516">
        <v>0</v>
      </c>
      <c r="QR516">
        <v>0</v>
      </c>
      <c r="QS516">
        <v>0</v>
      </c>
      <c r="QT516">
        <v>0</v>
      </c>
      <c r="QU516">
        <v>0</v>
      </c>
      <c r="QV516">
        <v>0</v>
      </c>
      <c r="QW516">
        <v>0</v>
      </c>
      <c r="QX516">
        <v>0</v>
      </c>
      <c r="QY516">
        <v>0</v>
      </c>
    </row>
    <row r="517" spans="1:467" hidden="1" x14ac:dyDescent="0.4">
      <c r="A517" t="str">
        <f>"9784838755820"</f>
        <v>9784838755820</v>
      </c>
      <c r="B517" t="str">
        <f>"4838755821"</f>
        <v>4838755821</v>
      </c>
      <c r="C517" t="s">
        <v>2865</v>
      </c>
      <c r="E517" t="s">
        <v>982</v>
      </c>
      <c r="F517" t="s">
        <v>2561</v>
      </c>
      <c r="G517" t="str">
        <f>"9476"</f>
        <v>9476</v>
      </c>
      <c r="H517" t="s">
        <v>1855</v>
      </c>
      <c r="I517" t="s">
        <v>1884</v>
      </c>
      <c r="J517" t="s">
        <v>552</v>
      </c>
      <c r="L517" s="1">
        <v>44916</v>
      </c>
      <c r="M517">
        <v>1300</v>
      </c>
      <c r="N517">
        <v>6</v>
      </c>
      <c r="O517">
        <v>6</v>
      </c>
      <c r="P517">
        <v>6</v>
      </c>
      <c r="Q517">
        <v>6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1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1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1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1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1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1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0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0</v>
      </c>
      <c r="OE517">
        <v>0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  <c r="PB517">
        <v>0</v>
      </c>
      <c r="PC517">
        <v>0</v>
      </c>
      <c r="PD517">
        <v>0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0</v>
      </c>
      <c r="PU517">
        <v>0</v>
      </c>
      <c r="PV517">
        <v>0</v>
      </c>
      <c r="PW517">
        <v>0</v>
      </c>
      <c r="PX517">
        <v>0</v>
      </c>
      <c r="PY517">
        <v>0</v>
      </c>
      <c r="PZ517">
        <v>0</v>
      </c>
      <c r="QA517">
        <v>0</v>
      </c>
      <c r="QB517">
        <v>0</v>
      </c>
      <c r="QC517">
        <v>0</v>
      </c>
      <c r="QD517">
        <v>0</v>
      </c>
      <c r="QE517">
        <v>0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</v>
      </c>
      <c r="QO517">
        <v>0</v>
      </c>
      <c r="QP517">
        <v>0</v>
      </c>
      <c r="QQ517">
        <v>0</v>
      </c>
      <c r="QR517">
        <v>0</v>
      </c>
      <c r="QS517">
        <v>0</v>
      </c>
      <c r="QT517">
        <v>0</v>
      </c>
      <c r="QU517">
        <v>0</v>
      </c>
      <c r="QV517">
        <v>0</v>
      </c>
      <c r="QW517">
        <v>0</v>
      </c>
      <c r="QX517">
        <v>0</v>
      </c>
      <c r="QY517">
        <v>0</v>
      </c>
    </row>
    <row r="518" spans="1:467" hidden="1" x14ac:dyDescent="0.4">
      <c r="A518" t="str">
        <f>"9784533151606"</f>
        <v>9784533151606</v>
      </c>
      <c r="B518" t="str">
        <f>"4533151604"</f>
        <v>4533151604</v>
      </c>
      <c r="C518" t="s">
        <v>2866</v>
      </c>
      <c r="E518" t="s">
        <v>2312</v>
      </c>
      <c r="F518" t="s">
        <v>2313</v>
      </c>
      <c r="G518" t="str">
        <f>"9426"</f>
        <v>9426</v>
      </c>
      <c r="H518" t="s">
        <v>1855</v>
      </c>
      <c r="I518" t="s">
        <v>1884</v>
      </c>
      <c r="J518" t="s">
        <v>2110</v>
      </c>
      <c r="L518" s="1">
        <v>44876</v>
      </c>
      <c r="M518">
        <v>980</v>
      </c>
      <c r="N518">
        <v>6</v>
      </c>
      <c r="O518">
        <v>4</v>
      </c>
      <c r="P518">
        <v>6</v>
      </c>
      <c r="Q518">
        <v>4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3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1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1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</v>
      </c>
      <c r="MV518">
        <v>0</v>
      </c>
      <c r="MW518">
        <v>0</v>
      </c>
      <c r="MX518">
        <v>0</v>
      </c>
      <c r="MY518">
        <v>0</v>
      </c>
      <c r="MZ518">
        <v>1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  <c r="NK518">
        <v>0</v>
      </c>
      <c r="NL518">
        <v>0</v>
      </c>
      <c r="NM518">
        <v>0</v>
      </c>
      <c r="NN518">
        <v>0</v>
      </c>
      <c r="NO518">
        <v>0</v>
      </c>
      <c r="NP518">
        <v>0</v>
      </c>
      <c r="NQ518">
        <v>0</v>
      </c>
      <c r="NR518">
        <v>0</v>
      </c>
      <c r="NS518">
        <v>0</v>
      </c>
      <c r="NT518">
        <v>0</v>
      </c>
      <c r="NU518">
        <v>0</v>
      </c>
      <c r="NV518">
        <v>0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C518">
        <v>0</v>
      </c>
      <c r="OD518">
        <v>0</v>
      </c>
      <c r="OE518">
        <v>0</v>
      </c>
      <c r="OF518">
        <v>0</v>
      </c>
      <c r="OG518">
        <v>0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0</v>
      </c>
      <c r="PB518">
        <v>0</v>
      </c>
      <c r="PC518">
        <v>0</v>
      </c>
      <c r="PD518">
        <v>0</v>
      </c>
      <c r="PE518">
        <v>0</v>
      </c>
      <c r="PF518">
        <v>0</v>
      </c>
      <c r="PG518">
        <v>0</v>
      </c>
      <c r="PH518">
        <v>0</v>
      </c>
      <c r="PI518">
        <v>0</v>
      </c>
      <c r="PJ518">
        <v>0</v>
      </c>
      <c r="PK518">
        <v>0</v>
      </c>
      <c r="PL518">
        <v>0</v>
      </c>
      <c r="PM518">
        <v>0</v>
      </c>
      <c r="PN518">
        <v>0</v>
      </c>
      <c r="PO518">
        <v>0</v>
      </c>
      <c r="PP518">
        <v>0</v>
      </c>
      <c r="PQ518">
        <v>0</v>
      </c>
      <c r="PR518">
        <v>0</v>
      </c>
      <c r="PS518">
        <v>0</v>
      </c>
      <c r="PT518">
        <v>0</v>
      </c>
      <c r="PU518">
        <v>0</v>
      </c>
      <c r="PV518">
        <v>0</v>
      </c>
      <c r="PW518">
        <v>0</v>
      </c>
      <c r="PX518">
        <v>0</v>
      </c>
      <c r="PY518">
        <v>0</v>
      </c>
      <c r="PZ518">
        <v>0</v>
      </c>
      <c r="QA518">
        <v>0</v>
      </c>
      <c r="QB518">
        <v>0</v>
      </c>
      <c r="QC518">
        <v>0</v>
      </c>
      <c r="QD518">
        <v>0</v>
      </c>
      <c r="QE518">
        <v>0</v>
      </c>
      <c r="QF518">
        <v>0</v>
      </c>
      <c r="QG518">
        <v>0</v>
      </c>
      <c r="QH518">
        <v>0</v>
      </c>
      <c r="QI518">
        <v>0</v>
      </c>
      <c r="QJ518">
        <v>0</v>
      </c>
      <c r="QK518">
        <v>0</v>
      </c>
      <c r="QL518">
        <v>0</v>
      </c>
      <c r="QM518">
        <v>0</v>
      </c>
      <c r="QN518">
        <v>0</v>
      </c>
      <c r="QO518">
        <v>0</v>
      </c>
      <c r="QP518">
        <v>0</v>
      </c>
      <c r="QQ518">
        <v>0</v>
      </c>
      <c r="QR518">
        <v>0</v>
      </c>
      <c r="QS518">
        <v>0</v>
      </c>
      <c r="QT518">
        <v>0</v>
      </c>
      <c r="QU518">
        <v>0</v>
      </c>
      <c r="QV518">
        <v>0</v>
      </c>
      <c r="QW518">
        <v>0</v>
      </c>
      <c r="QX518">
        <v>0</v>
      </c>
      <c r="QY518">
        <v>0</v>
      </c>
    </row>
    <row r="519" spans="1:467" x14ac:dyDescent="0.4">
      <c r="A519" t="str">
        <f>"9784088816081"</f>
        <v>9784088816081</v>
      </c>
      <c r="B519" t="str">
        <f>"4088816080"</f>
        <v>4088816080</v>
      </c>
      <c r="C519" t="s">
        <v>2867</v>
      </c>
      <c r="D519" t="s">
        <v>1869</v>
      </c>
      <c r="E519" t="s">
        <v>536</v>
      </c>
      <c r="F519" t="s">
        <v>1854</v>
      </c>
      <c r="G519" t="str">
        <f>"9979"</f>
        <v>9979</v>
      </c>
      <c r="H519" t="s">
        <v>1855</v>
      </c>
      <c r="I519" t="s">
        <v>1856</v>
      </c>
      <c r="J519" t="s">
        <v>1856</v>
      </c>
      <c r="L519" s="1">
        <v>43347</v>
      </c>
      <c r="M519">
        <v>440</v>
      </c>
      <c r="N519">
        <v>6</v>
      </c>
      <c r="O519">
        <v>5</v>
      </c>
      <c r="P519">
        <v>6</v>
      </c>
      <c r="Q519">
        <v>5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1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1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2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1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0</v>
      </c>
      <c r="MP519">
        <v>0</v>
      </c>
      <c r="MQ519">
        <v>0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1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  <c r="NK519">
        <v>0</v>
      </c>
      <c r="NL519">
        <v>0</v>
      </c>
      <c r="NM519">
        <v>0</v>
      </c>
      <c r="NN519">
        <v>0</v>
      </c>
      <c r="NO519">
        <v>0</v>
      </c>
      <c r="NP519">
        <v>0</v>
      </c>
      <c r="NQ519">
        <v>0</v>
      </c>
      <c r="NR519">
        <v>0</v>
      </c>
      <c r="NS519">
        <v>0</v>
      </c>
      <c r="NT519">
        <v>0</v>
      </c>
      <c r="NU519">
        <v>0</v>
      </c>
      <c r="NV519">
        <v>0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C519">
        <v>0</v>
      </c>
      <c r="OD519">
        <v>0</v>
      </c>
      <c r="OE519">
        <v>0</v>
      </c>
      <c r="OF519">
        <v>0</v>
      </c>
      <c r="OG519">
        <v>0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0</v>
      </c>
      <c r="PB519">
        <v>0</v>
      </c>
      <c r="PC519">
        <v>0</v>
      </c>
      <c r="PD519">
        <v>0</v>
      </c>
      <c r="PE519">
        <v>0</v>
      </c>
      <c r="PF519">
        <v>0</v>
      </c>
      <c r="PG519">
        <v>0</v>
      </c>
      <c r="PH519">
        <v>0</v>
      </c>
      <c r="PI519">
        <v>0</v>
      </c>
      <c r="PJ519">
        <v>0</v>
      </c>
      <c r="PK519">
        <v>0</v>
      </c>
      <c r="PL519">
        <v>0</v>
      </c>
      <c r="PM519">
        <v>0</v>
      </c>
      <c r="PN519">
        <v>0</v>
      </c>
      <c r="PO519">
        <v>0</v>
      </c>
      <c r="PP519">
        <v>0</v>
      </c>
      <c r="PQ519">
        <v>0</v>
      </c>
      <c r="PR519">
        <v>0</v>
      </c>
      <c r="PS519">
        <v>0</v>
      </c>
      <c r="PT519">
        <v>0</v>
      </c>
      <c r="PU519">
        <v>0</v>
      </c>
      <c r="PV519">
        <v>0</v>
      </c>
      <c r="PW519">
        <v>0</v>
      </c>
      <c r="PX519">
        <v>0</v>
      </c>
      <c r="PY519">
        <v>0</v>
      </c>
      <c r="PZ519">
        <v>0</v>
      </c>
      <c r="QA519">
        <v>0</v>
      </c>
      <c r="QB519">
        <v>0</v>
      </c>
      <c r="QC519">
        <v>0</v>
      </c>
      <c r="QD519">
        <v>0</v>
      </c>
      <c r="QE519">
        <v>0</v>
      </c>
      <c r="QF519">
        <v>0</v>
      </c>
      <c r="QG519">
        <v>0</v>
      </c>
      <c r="QH519">
        <v>0</v>
      </c>
      <c r="QI519">
        <v>0</v>
      </c>
      <c r="QJ519">
        <v>0</v>
      </c>
      <c r="QK519">
        <v>0</v>
      </c>
      <c r="QL519">
        <v>0</v>
      </c>
      <c r="QM519">
        <v>0</v>
      </c>
      <c r="QN519">
        <v>0</v>
      </c>
      <c r="QO519">
        <v>0</v>
      </c>
      <c r="QP519">
        <v>0</v>
      </c>
      <c r="QQ519">
        <v>0</v>
      </c>
      <c r="QR519">
        <v>0</v>
      </c>
      <c r="QS519">
        <v>0</v>
      </c>
      <c r="QT519">
        <v>0</v>
      </c>
      <c r="QU519">
        <v>0</v>
      </c>
      <c r="QV519">
        <v>0</v>
      </c>
      <c r="QW519">
        <v>0</v>
      </c>
      <c r="QX519">
        <v>0</v>
      </c>
      <c r="QY519">
        <v>0</v>
      </c>
    </row>
    <row r="520" spans="1:467" x14ac:dyDescent="0.4">
      <c r="A520" t="str">
        <f>"9784088816661"</f>
        <v>9784088816661</v>
      </c>
      <c r="B520" t="str">
        <f>"4088816668"</f>
        <v>4088816668</v>
      </c>
      <c r="C520" t="s">
        <v>2868</v>
      </c>
      <c r="D520" t="s">
        <v>1869</v>
      </c>
      <c r="E520" t="s">
        <v>536</v>
      </c>
      <c r="F520" t="s">
        <v>1854</v>
      </c>
      <c r="G520" t="str">
        <f>"9979"</f>
        <v>9979</v>
      </c>
      <c r="H520" t="s">
        <v>1855</v>
      </c>
      <c r="I520" t="s">
        <v>1856</v>
      </c>
      <c r="J520" t="s">
        <v>1856</v>
      </c>
      <c r="L520" s="1">
        <v>43438</v>
      </c>
      <c r="M520">
        <v>440</v>
      </c>
      <c r="N520">
        <v>6</v>
      </c>
      <c r="O520">
        <v>5</v>
      </c>
      <c r="P520">
        <v>6</v>
      </c>
      <c r="Q520">
        <v>5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1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0</v>
      </c>
      <c r="HV520">
        <v>1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2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1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0</v>
      </c>
      <c r="MR520">
        <v>0</v>
      </c>
      <c r="MS520">
        <v>0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1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0</v>
      </c>
      <c r="NG520">
        <v>0</v>
      </c>
      <c r="NH520">
        <v>0</v>
      </c>
      <c r="NI520">
        <v>0</v>
      </c>
      <c r="NJ520">
        <v>0</v>
      </c>
      <c r="NK520">
        <v>0</v>
      </c>
      <c r="NL520">
        <v>0</v>
      </c>
      <c r="NM520">
        <v>0</v>
      </c>
      <c r="NN520">
        <v>0</v>
      </c>
      <c r="NO520">
        <v>0</v>
      </c>
      <c r="NP520">
        <v>0</v>
      </c>
      <c r="NQ520">
        <v>0</v>
      </c>
      <c r="NR520">
        <v>0</v>
      </c>
      <c r="NS520">
        <v>0</v>
      </c>
      <c r="NT520">
        <v>0</v>
      </c>
      <c r="NU520">
        <v>0</v>
      </c>
      <c r="NV520">
        <v>0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C520">
        <v>0</v>
      </c>
      <c r="OD520">
        <v>0</v>
      </c>
      <c r="OE520">
        <v>0</v>
      </c>
      <c r="OF520">
        <v>0</v>
      </c>
      <c r="OG520">
        <v>0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0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0</v>
      </c>
      <c r="OZ520">
        <v>0</v>
      </c>
      <c r="PA520">
        <v>0</v>
      </c>
      <c r="PB520">
        <v>0</v>
      </c>
      <c r="PC520">
        <v>0</v>
      </c>
      <c r="PD520">
        <v>0</v>
      </c>
      <c r="PE520">
        <v>0</v>
      </c>
      <c r="PF520">
        <v>0</v>
      </c>
      <c r="PG520">
        <v>0</v>
      </c>
      <c r="PH520">
        <v>0</v>
      </c>
      <c r="PI520">
        <v>0</v>
      </c>
      <c r="PJ520">
        <v>0</v>
      </c>
      <c r="PK520">
        <v>0</v>
      </c>
      <c r="PL520">
        <v>0</v>
      </c>
      <c r="PM520">
        <v>0</v>
      </c>
      <c r="PN520">
        <v>0</v>
      </c>
      <c r="PO520">
        <v>0</v>
      </c>
      <c r="PP520">
        <v>0</v>
      </c>
      <c r="PQ520">
        <v>0</v>
      </c>
      <c r="PR520">
        <v>0</v>
      </c>
      <c r="PS520">
        <v>0</v>
      </c>
      <c r="PT520">
        <v>0</v>
      </c>
      <c r="PU520">
        <v>0</v>
      </c>
      <c r="PV520">
        <v>0</v>
      </c>
      <c r="PW520">
        <v>0</v>
      </c>
      <c r="PX520">
        <v>0</v>
      </c>
      <c r="PY520">
        <v>0</v>
      </c>
      <c r="PZ520">
        <v>0</v>
      </c>
      <c r="QA520">
        <v>0</v>
      </c>
      <c r="QB520">
        <v>0</v>
      </c>
      <c r="QC520">
        <v>0</v>
      </c>
      <c r="QD520">
        <v>0</v>
      </c>
      <c r="QE520">
        <v>0</v>
      </c>
      <c r="QF520">
        <v>0</v>
      </c>
      <c r="QG520">
        <v>0</v>
      </c>
      <c r="QH520">
        <v>0</v>
      </c>
      <c r="QI520">
        <v>0</v>
      </c>
      <c r="QJ520">
        <v>0</v>
      </c>
      <c r="QK520">
        <v>0</v>
      </c>
      <c r="QL520">
        <v>0</v>
      </c>
      <c r="QM520">
        <v>0</v>
      </c>
      <c r="QN520">
        <v>0</v>
      </c>
      <c r="QO520">
        <v>0</v>
      </c>
      <c r="QP520">
        <v>0</v>
      </c>
      <c r="QQ520">
        <v>0</v>
      </c>
      <c r="QR520">
        <v>0</v>
      </c>
      <c r="QS520">
        <v>0</v>
      </c>
      <c r="QT520">
        <v>0</v>
      </c>
      <c r="QU520">
        <v>0</v>
      </c>
      <c r="QV520">
        <v>0</v>
      </c>
      <c r="QW520">
        <v>0</v>
      </c>
      <c r="QX520">
        <v>0</v>
      </c>
      <c r="QY520">
        <v>0</v>
      </c>
    </row>
    <row r="521" spans="1:467" x14ac:dyDescent="0.4">
      <c r="A521" t="str">
        <f>"9784098614684"</f>
        <v>9784098614684</v>
      </c>
      <c r="B521" t="str">
        <f>"4098614685"</f>
        <v>4098614685</v>
      </c>
      <c r="C521" t="s">
        <v>2869</v>
      </c>
      <c r="D521" t="s">
        <v>2870</v>
      </c>
      <c r="E521" t="s">
        <v>1069</v>
      </c>
      <c r="F521" t="s">
        <v>2407</v>
      </c>
      <c r="G521" t="str">
        <f>"9979"</f>
        <v>9979</v>
      </c>
      <c r="H521" t="s">
        <v>1855</v>
      </c>
      <c r="I521" t="s">
        <v>1856</v>
      </c>
      <c r="J521" t="s">
        <v>1856</v>
      </c>
      <c r="L521" s="1">
        <v>44875</v>
      </c>
      <c r="M521">
        <v>650</v>
      </c>
      <c r="N521">
        <v>6</v>
      </c>
      <c r="O521">
        <v>6</v>
      </c>
      <c r="P521">
        <v>6</v>
      </c>
      <c r="Q521">
        <v>6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1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1</v>
      </c>
      <c r="BF521">
        <v>0</v>
      </c>
      <c r="BG521">
        <v>1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0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1</v>
      </c>
      <c r="JO521">
        <v>0</v>
      </c>
      <c r="JP521">
        <v>0</v>
      </c>
      <c r="JQ521">
        <v>1</v>
      </c>
      <c r="JR521">
        <v>1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</v>
      </c>
      <c r="MM521">
        <v>0</v>
      </c>
      <c r="MN521">
        <v>0</v>
      </c>
      <c r="MO521">
        <v>0</v>
      </c>
      <c r="MP521">
        <v>0</v>
      </c>
      <c r="MQ521">
        <v>0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  <c r="NK521">
        <v>0</v>
      </c>
      <c r="NL521">
        <v>0</v>
      </c>
      <c r="NM521">
        <v>0</v>
      </c>
      <c r="NN521">
        <v>0</v>
      </c>
      <c r="NO521">
        <v>0</v>
      </c>
      <c r="NP521">
        <v>0</v>
      </c>
      <c r="NQ521">
        <v>0</v>
      </c>
      <c r="NR521">
        <v>0</v>
      </c>
      <c r="NS521">
        <v>0</v>
      </c>
      <c r="NT521">
        <v>0</v>
      </c>
      <c r="NU521">
        <v>0</v>
      </c>
      <c r="NV521">
        <v>0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C521">
        <v>0</v>
      </c>
      <c r="OD521">
        <v>0</v>
      </c>
      <c r="OE521">
        <v>0</v>
      </c>
      <c r="OF521">
        <v>0</v>
      </c>
      <c r="OG521">
        <v>0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0</v>
      </c>
      <c r="PA521">
        <v>0</v>
      </c>
      <c r="PB521">
        <v>0</v>
      </c>
      <c r="PC521">
        <v>0</v>
      </c>
      <c r="PD521">
        <v>0</v>
      </c>
      <c r="PE521">
        <v>0</v>
      </c>
      <c r="PF521">
        <v>0</v>
      </c>
      <c r="PG521">
        <v>0</v>
      </c>
      <c r="PH521">
        <v>0</v>
      </c>
      <c r="PI521">
        <v>0</v>
      </c>
      <c r="PJ521">
        <v>0</v>
      </c>
      <c r="PK521">
        <v>0</v>
      </c>
      <c r="PL521">
        <v>0</v>
      </c>
      <c r="PM521">
        <v>0</v>
      </c>
      <c r="PN521">
        <v>0</v>
      </c>
      <c r="PO521">
        <v>0</v>
      </c>
      <c r="PP521">
        <v>0</v>
      </c>
      <c r="PQ521">
        <v>0</v>
      </c>
      <c r="PR521">
        <v>0</v>
      </c>
      <c r="PS521">
        <v>0</v>
      </c>
      <c r="PT521">
        <v>0</v>
      </c>
      <c r="PU521">
        <v>0</v>
      </c>
      <c r="PV521">
        <v>0</v>
      </c>
      <c r="PW521">
        <v>0</v>
      </c>
      <c r="PX521">
        <v>0</v>
      </c>
      <c r="PY521">
        <v>0</v>
      </c>
      <c r="PZ521">
        <v>0</v>
      </c>
      <c r="QA521">
        <v>0</v>
      </c>
      <c r="QB521">
        <v>0</v>
      </c>
      <c r="QC521">
        <v>0</v>
      </c>
      <c r="QD521">
        <v>0</v>
      </c>
      <c r="QE521">
        <v>0</v>
      </c>
      <c r="QF521">
        <v>0</v>
      </c>
      <c r="QG521">
        <v>0</v>
      </c>
      <c r="QH521">
        <v>0</v>
      </c>
      <c r="QI521">
        <v>0</v>
      </c>
      <c r="QJ521">
        <v>0</v>
      </c>
      <c r="QK521">
        <v>0</v>
      </c>
      <c r="QL521">
        <v>0</v>
      </c>
      <c r="QM521">
        <v>0</v>
      </c>
      <c r="QN521">
        <v>0</v>
      </c>
      <c r="QO521">
        <v>0</v>
      </c>
      <c r="QP521">
        <v>0</v>
      </c>
      <c r="QQ521">
        <v>0</v>
      </c>
      <c r="QR521">
        <v>0</v>
      </c>
      <c r="QS521">
        <v>0</v>
      </c>
      <c r="QT521">
        <v>0</v>
      </c>
      <c r="QU521">
        <v>0</v>
      </c>
      <c r="QV521">
        <v>0</v>
      </c>
      <c r="QW521">
        <v>0</v>
      </c>
      <c r="QX521">
        <v>0</v>
      </c>
      <c r="QY521">
        <v>0</v>
      </c>
    </row>
    <row r="522" spans="1:467" hidden="1" x14ac:dyDescent="0.4">
      <c r="A522" t="str">
        <f>"9784827907056"</f>
        <v>9784827907056</v>
      </c>
      <c r="B522" t="str">
        <f>"4827907056"</f>
        <v>4827907056</v>
      </c>
      <c r="C522" t="s">
        <v>2871</v>
      </c>
      <c r="D522" t="s">
        <v>2872</v>
      </c>
      <c r="E522" t="s">
        <v>2873</v>
      </c>
      <c r="G522" t="str">
        <f>"1073"</f>
        <v>1073</v>
      </c>
      <c r="H522" t="s">
        <v>541</v>
      </c>
      <c r="I522" t="s">
        <v>1893</v>
      </c>
      <c r="J522" t="s">
        <v>794</v>
      </c>
      <c r="L522" s="1">
        <v>15342</v>
      </c>
      <c r="M522">
        <v>3800</v>
      </c>
      <c r="N522">
        <v>6</v>
      </c>
      <c r="O522">
        <v>1</v>
      </c>
      <c r="P522">
        <v>6</v>
      </c>
      <c r="Q522">
        <v>1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6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0</v>
      </c>
      <c r="MQ522">
        <v>0</v>
      </c>
      <c r="MR522">
        <v>0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0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0</v>
      </c>
      <c r="NK522">
        <v>0</v>
      </c>
      <c r="NL522">
        <v>0</v>
      </c>
      <c r="NM522">
        <v>0</v>
      </c>
      <c r="NN522">
        <v>0</v>
      </c>
      <c r="NO522">
        <v>0</v>
      </c>
      <c r="NP522">
        <v>0</v>
      </c>
      <c r="NQ522">
        <v>0</v>
      </c>
      <c r="NR522">
        <v>0</v>
      </c>
      <c r="NS522">
        <v>0</v>
      </c>
      <c r="NT522">
        <v>0</v>
      </c>
      <c r="NU522">
        <v>0</v>
      </c>
      <c r="NV522">
        <v>0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C522">
        <v>0</v>
      </c>
      <c r="OD522">
        <v>0</v>
      </c>
      <c r="OE522">
        <v>0</v>
      </c>
      <c r="OF522">
        <v>0</v>
      </c>
      <c r="OG522">
        <v>0</v>
      </c>
      <c r="OH522">
        <v>0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0</v>
      </c>
      <c r="PB522">
        <v>0</v>
      </c>
      <c r="PC522">
        <v>0</v>
      </c>
      <c r="PD522">
        <v>0</v>
      </c>
      <c r="PE522">
        <v>0</v>
      </c>
      <c r="PF522">
        <v>0</v>
      </c>
      <c r="PG522">
        <v>0</v>
      </c>
      <c r="PH522">
        <v>0</v>
      </c>
      <c r="PI522">
        <v>0</v>
      </c>
      <c r="PJ522">
        <v>0</v>
      </c>
      <c r="PK522">
        <v>0</v>
      </c>
      <c r="PL522">
        <v>0</v>
      </c>
      <c r="PM522">
        <v>0</v>
      </c>
      <c r="PN522">
        <v>0</v>
      </c>
      <c r="PO522">
        <v>0</v>
      </c>
      <c r="PP522">
        <v>0</v>
      </c>
      <c r="PQ522">
        <v>0</v>
      </c>
      <c r="PR522">
        <v>0</v>
      </c>
      <c r="PS522">
        <v>0</v>
      </c>
      <c r="PT522">
        <v>0</v>
      </c>
      <c r="PU522">
        <v>0</v>
      </c>
      <c r="PV522">
        <v>0</v>
      </c>
      <c r="PW522">
        <v>0</v>
      </c>
      <c r="PX522">
        <v>0</v>
      </c>
      <c r="PY522">
        <v>0</v>
      </c>
      <c r="PZ522">
        <v>0</v>
      </c>
      <c r="QA522">
        <v>0</v>
      </c>
      <c r="QB522">
        <v>0</v>
      </c>
      <c r="QC522">
        <v>0</v>
      </c>
      <c r="QD522">
        <v>0</v>
      </c>
      <c r="QE522">
        <v>0</v>
      </c>
      <c r="QF522">
        <v>0</v>
      </c>
      <c r="QG522">
        <v>0</v>
      </c>
      <c r="QH522">
        <v>0</v>
      </c>
      <c r="QI522">
        <v>0</v>
      </c>
      <c r="QJ522">
        <v>0</v>
      </c>
      <c r="QK522">
        <v>0</v>
      </c>
      <c r="QL522">
        <v>0</v>
      </c>
      <c r="QM522">
        <v>0</v>
      </c>
      <c r="QN522">
        <v>0</v>
      </c>
      <c r="QO522">
        <v>0</v>
      </c>
      <c r="QP522">
        <v>0</v>
      </c>
      <c r="QQ522">
        <v>0</v>
      </c>
      <c r="QR522">
        <v>0</v>
      </c>
      <c r="QS522">
        <v>0</v>
      </c>
      <c r="QT522">
        <v>0</v>
      </c>
      <c r="QU522">
        <v>0</v>
      </c>
      <c r="QV522">
        <v>0</v>
      </c>
      <c r="QW522">
        <v>0</v>
      </c>
      <c r="QX522">
        <v>0</v>
      </c>
      <c r="QY522">
        <v>0</v>
      </c>
    </row>
    <row r="523" spans="1:467" hidden="1" x14ac:dyDescent="0.4">
      <c r="A523" t="str">
        <f>"9784058013465"</f>
        <v>9784058013465</v>
      </c>
      <c r="B523" t="str">
        <f>"405801346X"</f>
        <v>405801346X</v>
      </c>
      <c r="C523" t="s">
        <v>2874</v>
      </c>
      <c r="D523" t="s">
        <v>2198</v>
      </c>
      <c r="E523" t="s">
        <v>2199</v>
      </c>
      <c r="G523" t="str">
        <f>"0326"</f>
        <v>0326</v>
      </c>
      <c r="H523" t="s">
        <v>481</v>
      </c>
      <c r="I523" t="s">
        <v>1877</v>
      </c>
      <c r="J523" t="s">
        <v>2110</v>
      </c>
      <c r="L523" s="1">
        <v>44224</v>
      </c>
      <c r="M523">
        <v>1500</v>
      </c>
      <c r="N523">
        <v>6</v>
      </c>
      <c r="O523">
        <v>4</v>
      </c>
      <c r="P523">
        <v>6</v>
      </c>
      <c r="Q523">
        <v>4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1</v>
      </c>
      <c r="CI523">
        <v>2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2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1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0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0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  <c r="NK523">
        <v>0</v>
      </c>
      <c r="NL523">
        <v>0</v>
      </c>
      <c r="NM523">
        <v>0</v>
      </c>
      <c r="NN523">
        <v>0</v>
      </c>
      <c r="NO523">
        <v>0</v>
      </c>
      <c r="NP523">
        <v>0</v>
      </c>
      <c r="NQ523">
        <v>0</v>
      </c>
      <c r="NR523">
        <v>0</v>
      </c>
      <c r="NS523">
        <v>0</v>
      </c>
      <c r="NT523">
        <v>0</v>
      </c>
      <c r="NU523">
        <v>0</v>
      </c>
      <c r="NV523">
        <v>0</v>
      </c>
      <c r="NW523">
        <v>0</v>
      </c>
      <c r="NX523">
        <v>0</v>
      </c>
      <c r="NY523">
        <v>0</v>
      </c>
      <c r="NZ523">
        <v>0</v>
      </c>
      <c r="OA523">
        <v>0</v>
      </c>
      <c r="OB523">
        <v>0</v>
      </c>
      <c r="OC523">
        <v>0</v>
      </c>
      <c r="OD523">
        <v>0</v>
      </c>
      <c r="OE523">
        <v>0</v>
      </c>
      <c r="OF523">
        <v>0</v>
      </c>
      <c r="OG523">
        <v>0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  <c r="PB523">
        <v>0</v>
      </c>
      <c r="PC523">
        <v>0</v>
      </c>
      <c r="PD523">
        <v>0</v>
      </c>
      <c r="PE523">
        <v>0</v>
      </c>
      <c r="PF523">
        <v>0</v>
      </c>
      <c r="PG523">
        <v>0</v>
      </c>
      <c r="PH523">
        <v>0</v>
      </c>
      <c r="PI523">
        <v>0</v>
      </c>
      <c r="PJ523">
        <v>0</v>
      </c>
      <c r="PK523">
        <v>0</v>
      </c>
      <c r="PL523">
        <v>0</v>
      </c>
      <c r="PM523">
        <v>0</v>
      </c>
      <c r="PN523">
        <v>0</v>
      </c>
      <c r="PO523">
        <v>0</v>
      </c>
      <c r="PP523">
        <v>0</v>
      </c>
      <c r="PQ523">
        <v>0</v>
      </c>
      <c r="PR523">
        <v>0</v>
      </c>
      <c r="PS523">
        <v>0</v>
      </c>
      <c r="PT523">
        <v>0</v>
      </c>
      <c r="PU523">
        <v>0</v>
      </c>
      <c r="PV523">
        <v>0</v>
      </c>
      <c r="PW523">
        <v>0</v>
      </c>
      <c r="PX523">
        <v>0</v>
      </c>
      <c r="PY523">
        <v>0</v>
      </c>
      <c r="PZ523">
        <v>0</v>
      </c>
      <c r="QA523">
        <v>0</v>
      </c>
      <c r="QB523">
        <v>0</v>
      </c>
      <c r="QC523">
        <v>0</v>
      </c>
      <c r="QD523">
        <v>0</v>
      </c>
      <c r="QE523">
        <v>0</v>
      </c>
      <c r="QF523">
        <v>0</v>
      </c>
      <c r="QG523">
        <v>0</v>
      </c>
      <c r="QH523">
        <v>0</v>
      </c>
      <c r="QI523">
        <v>0</v>
      </c>
      <c r="QJ523">
        <v>0</v>
      </c>
      <c r="QK523">
        <v>0</v>
      </c>
      <c r="QL523">
        <v>0</v>
      </c>
      <c r="QM523">
        <v>0</v>
      </c>
      <c r="QN523">
        <v>0</v>
      </c>
      <c r="QO523">
        <v>0</v>
      </c>
      <c r="QP523">
        <v>0</v>
      </c>
      <c r="QQ523">
        <v>0</v>
      </c>
      <c r="QR523">
        <v>0</v>
      </c>
      <c r="QS523">
        <v>0</v>
      </c>
      <c r="QT523">
        <v>0</v>
      </c>
      <c r="QU523">
        <v>0</v>
      </c>
      <c r="QV523">
        <v>0</v>
      </c>
      <c r="QW523">
        <v>0</v>
      </c>
      <c r="QX523">
        <v>0</v>
      </c>
      <c r="QY523">
        <v>0</v>
      </c>
    </row>
    <row r="524" spans="1:467" hidden="1" x14ac:dyDescent="0.4">
      <c r="A524" t="str">
        <f>"9784091793966"</f>
        <v>9784091793966</v>
      </c>
      <c r="B524" t="str">
        <f>"4091793967"</f>
        <v>4091793967</v>
      </c>
      <c r="C524" t="s">
        <v>2875</v>
      </c>
      <c r="D524" t="s">
        <v>2083</v>
      </c>
      <c r="E524" t="s">
        <v>1069</v>
      </c>
      <c r="G524" t="str">
        <f>"0079"</f>
        <v>0079</v>
      </c>
      <c r="H524" t="s">
        <v>481</v>
      </c>
      <c r="I524" t="s">
        <v>1893</v>
      </c>
      <c r="J524" t="s">
        <v>1856</v>
      </c>
      <c r="L524" s="1">
        <v>44944</v>
      </c>
      <c r="M524">
        <v>5000</v>
      </c>
      <c r="N524">
        <v>6</v>
      </c>
      <c r="O524">
        <v>6</v>
      </c>
      <c r="P524">
        <v>6</v>
      </c>
      <c r="Q524">
        <v>6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1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1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1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1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1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1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0</v>
      </c>
      <c r="MR524">
        <v>0</v>
      </c>
      <c r="MS524">
        <v>0</v>
      </c>
      <c r="MT524">
        <v>0</v>
      </c>
      <c r="MU524">
        <v>0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0</v>
      </c>
      <c r="NK524">
        <v>0</v>
      </c>
      <c r="NL524">
        <v>0</v>
      </c>
      <c r="NM524">
        <v>0</v>
      </c>
      <c r="NN524">
        <v>0</v>
      </c>
      <c r="NO524">
        <v>0</v>
      </c>
      <c r="NP524">
        <v>0</v>
      </c>
      <c r="NQ524">
        <v>0</v>
      </c>
      <c r="NR524">
        <v>0</v>
      </c>
      <c r="NS524">
        <v>0</v>
      </c>
      <c r="NT524">
        <v>0</v>
      </c>
      <c r="NU524">
        <v>0</v>
      </c>
      <c r="NV524">
        <v>0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C524">
        <v>0</v>
      </c>
      <c r="OD524">
        <v>0</v>
      </c>
      <c r="OE524">
        <v>0</v>
      </c>
      <c r="OF524">
        <v>0</v>
      </c>
      <c r="OG524">
        <v>0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0</v>
      </c>
      <c r="OZ524">
        <v>0</v>
      </c>
      <c r="PA524">
        <v>0</v>
      </c>
      <c r="PB524">
        <v>0</v>
      </c>
      <c r="PC524">
        <v>0</v>
      </c>
      <c r="PD524">
        <v>0</v>
      </c>
      <c r="PE524">
        <v>0</v>
      </c>
      <c r="PF524">
        <v>0</v>
      </c>
      <c r="PG524">
        <v>0</v>
      </c>
      <c r="PH524">
        <v>0</v>
      </c>
      <c r="PI524">
        <v>0</v>
      </c>
      <c r="PJ524">
        <v>0</v>
      </c>
      <c r="PK524">
        <v>0</v>
      </c>
      <c r="PL524">
        <v>0</v>
      </c>
      <c r="PM524">
        <v>0</v>
      </c>
      <c r="PN524">
        <v>0</v>
      </c>
      <c r="PO524">
        <v>0</v>
      </c>
      <c r="PP524">
        <v>0</v>
      </c>
      <c r="PQ524">
        <v>0</v>
      </c>
      <c r="PR524">
        <v>0</v>
      </c>
      <c r="PS524">
        <v>0</v>
      </c>
      <c r="PT524">
        <v>0</v>
      </c>
      <c r="PU524">
        <v>0</v>
      </c>
      <c r="PV524">
        <v>0</v>
      </c>
      <c r="PW524">
        <v>0</v>
      </c>
      <c r="PX524">
        <v>0</v>
      </c>
      <c r="PY524">
        <v>0</v>
      </c>
      <c r="PZ524">
        <v>0</v>
      </c>
      <c r="QA524">
        <v>0</v>
      </c>
      <c r="QB524">
        <v>0</v>
      </c>
      <c r="QC524">
        <v>0</v>
      </c>
      <c r="QD524">
        <v>0</v>
      </c>
      <c r="QE524">
        <v>0</v>
      </c>
      <c r="QF524">
        <v>0</v>
      </c>
      <c r="QG524">
        <v>0</v>
      </c>
      <c r="QH524">
        <v>0</v>
      </c>
      <c r="QI524">
        <v>0</v>
      </c>
      <c r="QJ524">
        <v>0</v>
      </c>
      <c r="QK524">
        <v>0</v>
      </c>
      <c r="QL524">
        <v>0</v>
      </c>
      <c r="QM524">
        <v>0</v>
      </c>
      <c r="QN524">
        <v>0</v>
      </c>
      <c r="QO524">
        <v>0</v>
      </c>
      <c r="QP524">
        <v>0</v>
      </c>
      <c r="QQ524">
        <v>0</v>
      </c>
      <c r="QR524">
        <v>0</v>
      </c>
      <c r="QS524">
        <v>0</v>
      </c>
      <c r="QT524">
        <v>0</v>
      </c>
      <c r="QU524">
        <v>0</v>
      </c>
      <c r="QV524">
        <v>0</v>
      </c>
      <c r="QW524">
        <v>0</v>
      </c>
      <c r="QX524">
        <v>0</v>
      </c>
      <c r="QY524">
        <v>0</v>
      </c>
    </row>
    <row r="525" spans="1:467" hidden="1" x14ac:dyDescent="0.4">
      <c r="A525" t="str">
        <f>"9784575245431"</f>
        <v>9784575245431</v>
      </c>
      <c r="B525" t="str">
        <f>"4575245437"</f>
        <v>4575245437</v>
      </c>
      <c r="C525" t="s">
        <v>2876</v>
      </c>
      <c r="D525" t="s">
        <v>828</v>
      </c>
      <c r="E525" t="s">
        <v>807</v>
      </c>
      <c r="G525" t="str">
        <f>"0093"</f>
        <v>0093</v>
      </c>
      <c r="H525" t="s">
        <v>481</v>
      </c>
      <c r="I525" t="s">
        <v>1893</v>
      </c>
      <c r="J525" t="s">
        <v>488</v>
      </c>
      <c r="L525" s="1">
        <v>44768</v>
      </c>
      <c r="M525">
        <v>1500</v>
      </c>
      <c r="N525">
        <v>6</v>
      </c>
      <c r="O525">
        <v>6</v>
      </c>
      <c r="P525">
        <v>6</v>
      </c>
      <c r="Q525">
        <v>6</v>
      </c>
      <c r="R525">
        <v>0</v>
      </c>
      <c r="S525">
        <v>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1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1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1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1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1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  <c r="NK525">
        <v>0</v>
      </c>
      <c r="NL525">
        <v>0</v>
      </c>
      <c r="NM525">
        <v>0</v>
      </c>
      <c r="NN525">
        <v>0</v>
      </c>
      <c r="NO525">
        <v>0</v>
      </c>
      <c r="NP525">
        <v>0</v>
      </c>
      <c r="NQ525">
        <v>0</v>
      </c>
      <c r="NR525">
        <v>0</v>
      </c>
      <c r="NS525">
        <v>0</v>
      </c>
      <c r="NT525">
        <v>0</v>
      </c>
      <c r="NU525">
        <v>0</v>
      </c>
      <c r="NV525">
        <v>0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C525">
        <v>0</v>
      </c>
      <c r="OD525">
        <v>0</v>
      </c>
      <c r="OE525">
        <v>0</v>
      </c>
      <c r="OF525">
        <v>0</v>
      </c>
      <c r="OG525">
        <v>0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0</v>
      </c>
      <c r="PB525">
        <v>0</v>
      </c>
      <c r="PC525">
        <v>0</v>
      </c>
      <c r="PD525">
        <v>0</v>
      </c>
      <c r="PE525">
        <v>0</v>
      </c>
      <c r="PF525">
        <v>0</v>
      </c>
      <c r="PG525">
        <v>0</v>
      </c>
      <c r="PH525">
        <v>0</v>
      </c>
      <c r="PI525">
        <v>0</v>
      </c>
      <c r="PJ525">
        <v>0</v>
      </c>
      <c r="PK525">
        <v>0</v>
      </c>
      <c r="PL525">
        <v>0</v>
      </c>
      <c r="PM525">
        <v>0</v>
      </c>
      <c r="PN525">
        <v>0</v>
      </c>
      <c r="PO525">
        <v>0</v>
      </c>
      <c r="PP525">
        <v>0</v>
      </c>
      <c r="PQ525">
        <v>0</v>
      </c>
      <c r="PR525">
        <v>0</v>
      </c>
      <c r="PS525">
        <v>0</v>
      </c>
      <c r="PT525">
        <v>0</v>
      </c>
      <c r="PU525">
        <v>0</v>
      </c>
      <c r="PV525">
        <v>0</v>
      </c>
      <c r="PW525">
        <v>0</v>
      </c>
      <c r="PX525">
        <v>0</v>
      </c>
      <c r="PY525">
        <v>0</v>
      </c>
      <c r="PZ525">
        <v>0</v>
      </c>
      <c r="QA525">
        <v>0</v>
      </c>
      <c r="QB525">
        <v>0</v>
      </c>
      <c r="QC525">
        <v>0</v>
      </c>
      <c r="QD525">
        <v>0</v>
      </c>
      <c r="QE525">
        <v>0</v>
      </c>
      <c r="QF525">
        <v>0</v>
      </c>
      <c r="QG525">
        <v>0</v>
      </c>
      <c r="QH525">
        <v>0</v>
      </c>
      <c r="QI525">
        <v>0</v>
      </c>
      <c r="QJ525">
        <v>0</v>
      </c>
      <c r="QK525">
        <v>0</v>
      </c>
      <c r="QL525">
        <v>0</v>
      </c>
      <c r="QM525">
        <v>0</v>
      </c>
      <c r="QN525">
        <v>0</v>
      </c>
      <c r="QO525">
        <v>0</v>
      </c>
      <c r="QP525">
        <v>0</v>
      </c>
      <c r="QQ525">
        <v>0</v>
      </c>
      <c r="QR525">
        <v>0</v>
      </c>
      <c r="QS525">
        <v>0</v>
      </c>
      <c r="QT525">
        <v>0</v>
      </c>
      <c r="QU525">
        <v>0</v>
      </c>
      <c r="QV525">
        <v>0</v>
      </c>
      <c r="QW525">
        <v>0</v>
      </c>
      <c r="QX525">
        <v>0</v>
      </c>
      <c r="QY525">
        <v>0</v>
      </c>
    </row>
    <row r="526" spans="1:467" x14ac:dyDescent="0.4">
      <c r="A526" t="str">
        <f>"9784098501809"</f>
        <v>9784098501809</v>
      </c>
      <c r="B526" t="str">
        <f>"4098501805"</f>
        <v>4098501805</v>
      </c>
      <c r="C526" t="s">
        <v>2877</v>
      </c>
      <c r="D526" t="s">
        <v>2602</v>
      </c>
      <c r="E526" t="s">
        <v>1069</v>
      </c>
      <c r="F526" t="s">
        <v>1881</v>
      </c>
      <c r="G526" t="str">
        <f>"9979"</f>
        <v>9979</v>
      </c>
      <c r="H526" t="s">
        <v>1855</v>
      </c>
      <c r="I526" t="s">
        <v>1856</v>
      </c>
      <c r="J526" t="s">
        <v>1856</v>
      </c>
      <c r="L526" s="1">
        <v>44061</v>
      </c>
      <c r="M526">
        <v>454</v>
      </c>
      <c r="N526">
        <v>6</v>
      </c>
      <c r="O526">
        <v>6</v>
      </c>
      <c r="P526">
        <v>6</v>
      </c>
      <c r="Q526">
        <v>6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1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1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1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1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1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1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0</v>
      </c>
      <c r="MR526">
        <v>0</v>
      </c>
      <c r="MS526">
        <v>0</v>
      </c>
      <c r="MT526">
        <v>0</v>
      </c>
      <c r="MU526">
        <v>0</v>
      </c>
      <c r="MV526">
        <v>0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0</v>
      </c>
      <c r="NK526">
        <v>0</v>
      </c>
      <c r="NL526">
        <v>0</v>
      </c>
      <c r="NM526">
        <v>0</v>
      </c>
      <c r="NN526">
        <v>0</v>
      </c>
      <c r="NO526">
        <v>0</v>
      </c>
      <c r="NP526">
        <v>0</v>
      </c>
      <c r="NQ526">
        <v>0</v>
      </c>
      <c r="NR526">
        <v>0</v>
      </c>
      <c r="NS526">
        <v>0</v>
      </c>
      <c r="NT526">
        <v>0</v>
      </c>
      <c r="NU526">
        <v>0</v>
      </c>
      <c r="NV526">
        <v>0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C526">
        <v>0</v>
      </c>
      <c r="OD526">
        <v>0</v>
      </c>
      <c r="OE526">
        <v>0</v>
      </c>
      <c r="OF526">
        <v>0</v>
      </c>
      <c r="OG526">
        <v>0</v>
      </c>
      <c r="OH526">
        <v>0</v>
      </c>
      <c r="OI526">
        <v>0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0</v>
      </c>
      <c r="PB526">
        <v>0</v>
      </c>
      <c r="PC526">
        <v>0</v>
      </c>
      <c r="PD526">
        <v>0</v>
      </c>
      <c r="PE526">
        <v>0</v>
      </c>
      <c r="PF526">
        <v>0</v>
      </c>
      <c r="PG526">
        <v>0</v>
      </c>
      <c r="PH526">
        <v>0</v>
      </c>
      <c r="PI526">
        <v>0</v>
      </c>
      <c r="PJ526">
        <v>0</v>
      </c>
      <c r="PK526">
        <v>0</v>
      </c>
      <c r="PL526">
        <v>0</v>
      </c>
      <c r="PM526">
        <v>0</v>
      </c>
      <c r="PN526">
        <v>0</v>
      </c>
      <c r="PO526">
        <v>0</v>
      </c>
      <c r="PP526">
        <v>0</v>
      </c>
      <c r="PQ526">
        <v>0</v>
      </c>
      <c r="PR526">
        <v>0</v>
      </c>
      <c r="PS526">
        <v>0</v>
      </c>
      <c r="PT526">
        <v>0</v>
      </c>
      <c r="PU526">
        <v>0</v>
      </c>
      <c r="PV526">
        <v>0</v>
      </c>
      <c r="PW526">
        <v>0</v>
      </c>
      <c r="PX526">
        <v>0</v>
      </c>
      <c r="PY526">
        <v>0</v>
      </c>
      <c r="PZ526">
        <v>0</v>
      </c>
      <c r="QA526">
        <v>0</v>
      </c>
      <c r="QB526">
        <v>0</v>
      </c>
      <c r="QC526">
        <v>0</v>
      </c>
      <c r="QD526">
        <v>0</v>
      </c>
      <c r="QE526">
        <v>0</v>
      </c>
      <c r="QF526">
        <v>0</v>
      </c>
      <c r="QG526">
        <v>0</v>
      </c>
      <c r="QH526">
        <v>0</v>
      </c>
      <c r="QI526">
        <v>0</v>
      </c>
      <c r="QJ526">
        <v>0</v>
      </c>
      <c r="QK526">
        <v>0</v>
      </c>
      <c r="QL526">
        <v>0</v>
      </c>
      <c r="QM526">
        <v>0</v>
      </c>
      <c r="QN526">
        <v>0</v>
      </c>
      <c r="QO526">
        <v>0</v>
      </c>
      <c r="QP526">
        <v>0</v>
      </c>
      <c r="QQ526">
        <v>0</v>
      </c>
      <c r="QR526">
        <v>0</v>
      </c>
      <c r="QS526">
        <v>0</v>
      </c>
      <c r="QT526">
        <v>0</v>
      </c>
      <c r="QU526">
        <v>0</v>
      </c>
      <c r="QV526">
        <v>0</v>
      </c>
      <c r="QW526">
        <v>0</v>
      </c>
      <c r="QX526">
        <v>0</v>
      </c>
      <c r="QY526">
        <v>0</v>
      </c>
    </row>
    <row r="527" spans="1:467" hidden="1" x14ac:dyDescent="0.4">
      <c r="A527" t="str">
        <f>"9784864107594"</f>
        <v>9784864107594</v>
      </c>
      <c r="B527" t="str">
        <f>"4864107599"</f>
        <v>4864107599</v>
      </c>
      <c r="C527" t="s">
        <v>2878</v>
      </c>
      <c r="D527" t="s">
        <v>2879</v>
      </c>
      <c r="E527" t="s">
        <v>2404</v>
      </c>
      <c r="G527" t="str">
        <f>"0098"</f>
        <v>0098</v>
      </c>
      <c r="H527" t="s">
        <v>481</v>
      </c>
      <c r="I527" t="s">
        <v>1893</v>
      </c>
      <c r="J527" t="s">
        <v>1894</v>
      </c>
      <c r="L527" s="1">
        <v>44008</v>
      </c>
      <c r="M527">
        <v>1300</v>
      </c>
      <c r="N527">
        <v>6</v>
      </c>
      <c r="O527">
        <v>1</v>
      </c>
      <c r="P527">
        <v>6</v>
      </c>
      <c r="Q527">
        <v>1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6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0</v>
      </c>
      <c r="MR527">
        <v>0</v>
      </c>
      <c r="MS527">
        <v>0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0</v>
      </c>
      <c r="NK527">
        <v>0</v>
      </c>
      <c r="NL527">
        <v>0</v>
      </c>
      <c r="NM527">
        <v>0</v>
      </c>
      <c r="NN527">
        <v>0</v>
      </c>
      <c r="NO527">
        <v>0</v>
      </c>
      <c r="NP527">
        <v>0</v>
      </c>
      <c r="NQ527">
        <v>0</v>
      </c>
      <c r="NR527">
        <v>0</v>
      </c>
      <c r="NS527">
        <v>0</v>
      </c>
      <c r="NT527">
        <v>0</v>
      </c>
      <c r="NU527">
        <v>0</v>
      </c>
      <c r="NV527">
        <v>0</v>
      </c>
      <c r="NW527">
        <v>0</v>
      </c>
      <c r="NX527">
        <v>0</v>
      </c>
      <c r="NY527">
        <v>0</v>
      </c>
      <c r="NZ527">
        <v>0</v>
      </c>
      <c r="OA527">
        <v>0</v>
      </c>
      <c r="OB527">
        <v>0</v>
      </c>
      <c r="OC527">
        <v>0</v>
      </c>
      <c r="OD527">
        <v>0</v>
      </c>
      <c r="OE527">
        <v>0</v>
      </c>
      <c r="OF527">
        <v>0</v>
      </c>
      <c r="OG527">
        <v>0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0</v>
      </c>
      <c r="PA527">
        <v>0</v>
      </c>
      <c r="PB527">
        <v>0</v>
      </c>
      <c r="PC527">
        <v>0</v>
      </c>
      <c r="PD527">
        <v>0</v>
      </c>
      <c r="PE527">
        <v>0</v>
      </c>
      <c r="PF527">
        <v>0</v>
      </c>
      <c r="PG527">
        <v>0</v>
      </c>
      <c r="PH527">
        <v>0</v>
      </c>
      <c r="PI527">
        <v>0</v>
      </c>
      <c r="PJ527">
        <v>0</v>
      </c>
      <c r="PK527">
        <v>0</v>
      </c>
      <c r="PL527">
        <v>0</v>
      </c>
      <c r="PM527">
        <v>0</v>
      </c>
      <c r="PN527">
        <v>0</v>
      </c>
      <c r="PO527">
        <v>0</v>
      </c>
      <c r="PP527">
        <v>0</v>
      </c>
      <c r="PQ527">
        <v>0</v>
      </c>
      <c r="PR527">
        <v>0</v>
      </c>
      <c r="PS527">
        <v>0</v>
      </c>
      <c r="PT527">
        <v>0</v>
      </c>
      <c r="PU527">
        <v>0</v>
      </c>
      <c r="PV527">
        <v>0</v>
      </c>
      <c r="PW527">
        <v>0</v>
      </c>
      <c r="PX527">
        <v>0</v>
      </c>
      <c r="PY527">
        <v>0</v>
      </c>
      <c r="PZ527">
        <v>0</v>
      </c>
      <c r="QA527">
        <v>0</v>
      </c>
      <c r="QB527">
        <v>0</v>
      </c>
      <c r="QC527">
        <v>0</v>
      </c>
      <c r="QD527">
        <v>0</v>
      </c>
      <c r="QE527">
        <v>0</v>
      </c>
      <c r="QF527">
        <v>0</v>
      </c>
      <c r="QG527">
        <v>0</v>
      </c>
      <c r="QH527">
        <v>0</v>
      </c>
      <c r="QI527">
        <v>0</v>
      </c>
      <c r="QJ527">
        <v>0</v>
      </c>
      <c r="QK527">
        <v>0</v>
      </c>
      <c r="QL527">
        <v>0</v>
      </c>
      <c r="QM527">
        <v>0</v>
      </c>
      <c r="QN527">
        <v>0</v>
      </c>
      <c r="QO527">
        <v>0</v>
      </c>
      <c r="QP527">
        <v>0</v>
      </c>
      <c r="QQ527">
        <v>0</v>
      </c>
      <c r="QR527">
        <v>0</v>
      </c>
      <c r="QS527">
        <v>0</v>
      </c>
      <c r="QT527">
        <v>0</v>
      </c>
      <c r="QU527">
        <v>0</v>
      </c>
      <c r="QV527">
        <v>0</v>
      </c>
      <c r="QW527">
        <v>0</v>
      </c>
      <c r="QX527">
        <v>0</v>
      </c>
      <c r="QY527">
        <v>0</v>
      </c>
    </row>
    <row r="528" spans="1:467" x14ac:dyDescent="0.4">
      <c r="A528" t="str">
        <f>"9784088812489"</f>
        <v>9784088812489</v>
      </c>
      <c r="B528" t="str">
        <f>"4088812484"</f>
        <v>4088812484</v>
      </c>
      <c r="C528" t="s">
        <v>2880</v>
      </c>
      <c r="D528" t="s">
        <v>2042</v>
      </c>
      <c r="E528" t="s">
        <v>536</v>
      </c>
      <c r="F528" t="s">
        <v>1854</v>
      </c>
      <c r="G528" t="str">
        <f>"9979"</f>
        <v>9979</v>
      </c>
      <c r="H528" t="s">
        <v>1855</v>
      </c>
      <c r="I528" t="s">
        <v>1856</v>
      </c>
      <c r="J528" t="s">
        <v>1856</v>
      </c>
      <c r="L528" s="1">
        <v>42902</v>
      </c>
      <c r="M528">
        <v>440</v>
      </c>
      <c r="N528">
        <v>6</v>
      </c>
      <c r="O528">
        <v>6</v>
      </c>
      <c r="P528">
        <v>6</v>
      </c>
      <c r="Q528">
        <v>6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1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1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1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1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0</v>
      </c>
      <c r="MS528">
        <v>0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0</v>
      </c>
      <c r="NK528">
        <v>0</v>
      </c>
      <c r="NL528">
        <v>0</v>
      </c>
      <c r="NM528">
        <v>0</v>
      </c>
      <c r="NN528">
        <v>0</v>
      </c>
      <c r="NO528">
        <v>0</v>
      </c>
      <c r="NP528">
        <v>0</v>
      </c>
      <c r="NQ528">
        <v>0</v>
      </c>
      <c r="NR528">
        <v>0</v>
      </c>
      <c r="NS528">
        <v>0</v>
      </c>
      <c r="NT528">
        <v>0</v>
      </c>
      <c r="NU528">
        <v>0</v>
      </c>
      <c r="NV528">
        <v>0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C528">
        <v>0</v>
      </c>
      <c r="OD528">
        <v>0</v>
      </c>
      <c r="OE528">
        <v>0</v>
      </c>
      <c r="OF528">
        <v>0</v>
      </c>
      <c r="OG528">
        <v>0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0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0</v>
      </c>
      <c r="PB528">
        <v>0</v>
      </c>
      <c r="PC528">
        <v>0</v>
      </c>
      <c r="PD528">
        <v>0</v>
      </c>
      <c r="PE528">
        <v>0</v>
      </c>
      <c r="PF528">
        <v>0</v>
      </c>
      <c r="PG528">
        <v>0</v>
      </c>
      <c r="PH528">
        <v>0</v>
      </c>
      <c r="PI528">
        <v>0</v>
      </c>
      <c r="PJ528">
        <v>0</v>
      </c>
      <c r="PK528">
        <v>0</v>
      </c>
      <c r="PL528">
        <v>0</v>
      </c>
      <c r="PM528">
        <v>0</v>
      </c>
      <c r="PN528">
        <v>0</v>
      </c>
      <c r="PO528">
        <v>0</v>
      </c>
      <c r="PP528">
        <v>0</v>
      </c>
      <c r="PQ528">
        <v>0</v>
      </c>
      <c r="PR528">
        <v>0</v>
      </c>
      <c r="PS528">
        <v>0</v>
      </c>
      <c r="PT528">
        <v>0</v>
      </c>
      <c r="PU528">
        <v>0</v>
      </c>
      <c r="PV528">
        <v>0</v>
      </c>
      <c r="PW528">
        <v>0</v>
      </c>
      <c r="PX528">
        <v>0</v>
      </c>
      <c r="PY528">
        <v>0</v>
      </c>
      <c r="PZ528">
        <v>0</v>
      </c>
      <c r="QA528">
        <v>0</v>
      </c>
      <c r="QB528">
        <v>0</v>
      </c>
      <c r="QC528">
        <v>0</v>
      </c>
      <c r="QD528">
        <v>0</v>
      </c>
      <c r="QE528">
        <v>0</v>
      </c>
      <c r="QF528">
        <v>0</v>
      </c>
      <c r="QG528">
        <v>0</v>
      </c>
      <c r="QH528">
        <v>0</v>
      </c>
      <c r="QI528">
        <v>0</v>
      </c>
      <c r="QJ528">
        <v>0</v>
      </c>
      <c r="QK528">
        <v>0</v>
      </c>
      <c r="QL528">
        <v>0</v>
      </c>
      <c r="QM528">
        <v>0</v>
      </c>
      <c r="QN528">
        <v>0</v>
      </c>
      <c r="QO528">
        <v>0</v>
      </c>
      <c r="QP528">
        <v>0</v>
      </c>
      <c r="QQ528">
        <v>0</v>
      </c>
      <c r="QR528">
        <v>0</v>
      </c>
      <c r="QS528">
        <v>0</v>
      </c>
      <c r="QT528">
        <v>0</v>
      </c>
      <c r="QU528">
        <v>0</v>
      </c>
      <c r="QV528">
        <v>0</v>
      </c>
      <c r="QW528">
        <v>0</v>
      </c>
      <c r="QX528">
        <v>0</v>
      </c>
      <c r="QY528">
        <v>0</v>
      </c>
    </row>
    <row r="529" spans="1:467" hidden="1" x14ac:dyDescent="0.4">
      <c r="A529" t="str">
        <f>"9784065190296"</f>
        <v>9784065190296</v>
      </c>
      <c r="B529" t="str">
        <f>"4065190290"</f>
        <v>4065190290</v>
      </c>
      <c r="C529" t="s">
        <v>2881</v>
      </c>
      <c r="D529" t="s">
        <v>2592</v>
      </c>
      <c r="E529" t="s">
        <v>548</v>
      </c>
      <c r="G529" t="str">
        <f>"0093"</f>
        <v>0093</v>
      </c>
      <c r="H529" t="s">
        <v>481</v>
      </c>
      <c r="I529" t="s">
        <v>1893</v>
      </c>
      <c r="J529" t="s">
        <v>488</v>
      </c>
      <c r="L529" s="1">
        <v>43970</v>
      </c>
      <c r="M529">
        <v>1800</v>
      </c>
      <c r="N529">
        <v>6</v>
      </c>
      <c r="O529">
        <v>6</v>
      </c>
      <c r="P529">
        <v>6</v>
      </c>
      <c r="Q529">
        <v>6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1</v>
      </c>
      <c r="CI529">
        <v>1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1</v>
      </c>
      <c r="CR529">
        <v>0</v>
      </c>
      <c r="CS529">
        <v>1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1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1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0</v>
      </c>
      <c r="MP529">
        <v>0</v>
      </c>
      <c r="MQ529">
        <v>0</v>
      </c>
      <c r="MR529">
        <v>0</v>
      </c>
      <c r="MS529">
        <v>0</v>
      </c>
      <c r="MT529">
        <v>0</v>
      </c>
      <c r="MU529">
        <v>0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0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0</v>
      </c>
      <c r="NK529">
        <v>0</v>
      </c>
      <c r="NL529">
        <v>0</v>
      </c>
      <c r="NM529">
        <v>0</v>
      </c>
      <c r="NN529">
        <v>0</v>
      </c>
      <c r="NO529">
        <v>0</v>
      </c>
      <c r="NP529">
        <v>0</v>
      </c>
      <c r="NQ529">
        <v>0</v>
      </c>
      <c r="NR529">
        <v>0</v>
      </c>
      <c r="NS529">
        <v>0</v>
      </c>
      <c r="NT529">
        <v>0</v>
      </c>
      <c r="NU529">
        <v>0</v>
      </c>
      <c r="NV529">
        <v>0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C529">
        <v>0</v>
      </c>
      <c r="OD529">
        <v>0</v>
      </c>
      <c r="OE529">
        <v>0</v>
      </c>
      <c r="OF529">
        <v>0</v>
      </c>
      <c r="OG529">
        <v>0</v>
      </c>
      <c r="OH529">
        <v>0</v>
      </c>
      <c r="OI529">
        <v>0</v>
      </c>
      <c r="OJ529">
        <v>0</v>
      </c>
      <c r="OK529">
        <v>0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0</v>
      </c>
      <c r="PB529">
        <v>0</v>
      </c>
      <c r="PC529">
        <v>0</v>
      </c>
      <c r="PD529">
        <v>0</v>
      </c>
      <c r="PE529">
        <v>0</v>
      </c>
      <c r="PF529">
        <v>0</v>
      </c>
      <c r="PG529">
        <v>0</v>
      </c>
      <c r="PH529">
        <v>0</v>
      </c>
      <c r="PI529">
        <v>0</v>
      </c>
      <c r="PJ529">
        <v>0</v>
      </c>
      <c r="PK529">
        <v>0</v>
      </c>
      <c r="PL529">
        <v>0</v>
      </c>
      <c r="PM529">
        <v>0</v>
      </c>
      <c r="PN529">
        <v>0</v>
      </c>
      <c r="PO529">
        <v>0</v>
      </c>
      <c r="PP529">
        <v>0</v>
      </c>
      <c r="PQ529">
        <v>0</v>
      </c>
      <c r="PR529">
        <v>0</v>
      </c>
      <c r="PS529">
        <v>0</v>
      </c>
      <c r="PT529">
        <v>0</v>
      </c>
      <c r="PU529">
        <v>0</v>
      </c>
      <c r="PV529">
        <v>0</v>
      </c>
      <c r="PW529">
        <v>0</v>
      </c>
      <c r="PX529">
        <v>0</v>
      </c>
      <c r="PY529">
        <v>0</v>
      </c>
      <c r="PZ529">
        <v>0</v>
      </c>
      <c r="QA529">
        <v>0</v>
      </c>
      <c r="QB529">
        <v>0</v>
      </c>
      <c r="QC529">
        <v>0</v>
      </c>
      <c r="QD529">
        <v>0</v>
      </c>
      <c r="QE529">
        <v>0</v>
      </c>
      <c r="QF529">
        <v>0</v>
      </c>
      <c r="QG529">
        <v>0</v>
      </c>
      <c r="QH529">
        <v>0</v>
      </c>
      <c r="QI529">
        <v>0</v>
      </c>
      <c r="QJ529">
        <v>0</v>
      </c>
      <c r="QK529">
        <v>0</v>
      </c>
      <c r="QL529">
        <v>0</v>
      </c>
      <c r="QM529">
        <v>0</v>
      </c>
      <c r="QN529">
        <v>0</v>
      </c>
      <c r="QO529">
        <v>0</v>
      </c>
      <c r="QP529">
        <v>0</v>
      </c>
      <c r="QQ529">
        <v>0</v>
      </c>
      <c r="QR529">
        <v>0</v>
      </c>
      <c r="QS529">
        <v>0</v>
      </c>
      <c r="QT529">
        <v>0</v>
      </c>
      <c r="QU529">
        <v>0</v>
      </c>
      <c r="QV529">
        <v>0</v>
      </c>
      <c r="QW529">
        <v>0</v>
      </c>
      <c r="QX529">
        <v>0</v>
      </c>
      <c r="QY529">
        <v>0</v>
      </c>
    </row>
    <row r="530" spans="1:467" hidden="1" x14ac:dyDescent="0.4">
      <c r="A530" t="str">
        <f>"9784909394811"</f>
        <v>9784909394811</v>
      </c>
      <c r="B530" t="str">
        <f>"4909394818"</f>
        <v>4909394818</v>
      </c>
      <c r="C530" t="s">
        <v>2882</v>
      </c>
      <c r="D530" t="s">
        <v>2883</v>
      </c>
      <c r="E530" t="s">
        <v>2585</v>
      </c>
      <c r="G530" t="str">
        <f>"0095"</f>
        <v>0095</v>
      </c>
      <c r="H530" t="s">
        <v>481</v>
      </c>
      <c r="I530" t="s">
        <v>1893</v>
      </c>
      <c r="J530" t="s">
        <v>509</v>
      </c>
      <c r="L530" s="1">
        <v>44949</v>
      </c>
      <c r="M530">
        <v>1800</v>
      </c>
      <c r="N530">
        <v>6</v>
      </c>
      <c r="O530">
        <v>6</v>
      </c>
      <c r="P530">
        <v>6</v>
      </c>
      <c r="Q530">
        <v>6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1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1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1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1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1</v>
      </c>
      <c r="NF530">
        <v>0</v>
      </c>
      <c r="NG530">
        <v>0</v>
      </c>
      <c r="NH530">
        <v>0</v>
      </c>
      <c r="NI530">
        <v>0</v>
      </c>
      <c r="NJ530">
        <v>0</v>
      </c>
      <c r="NK530">
        <v>0</v>
      </c>
      <c r="NL530">
        <v>0</v>
      </c>
      <c r="NM530">
        <v>0</v>
      </c>
      <c r="NN530">
        <v>0</v>
      </c>
      <c r="NO530">
        <v>0</v>
      </c>
      <c r="NP530">
        <v>0</v>
      </c>
      <c r="NQ530">
        <v>0</v>
      </c>
      <c r="NR530">
        <v>1</v>
      </c>
      <c r="NS530">
        <v>0</v>
      </c>
      <c r="NT530">
        <v>0</v>
      </c>
      <c r="NU530">
        <v>0</v>
      </c>
      <c r="NV530">
        <v>0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C530">
        <v>0</v>
      </c>
      <c r="OD530">
        <v>0</v>
      </c>
      <c r="OE530">
        <v>0</v>
      </c>
      <c r="OF530">
        <v>0</v>
      </c>
      <c r="OG530">
        <v>0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0</v>
      </c>
      <c r="OZ530">
        <v>0</v>
      </c>
      <c r="PA530">
        <v>0</v>
      </c>
      <c r="PB530">
        <v>0</v>
      </c>
      <c r="PC530">
        <v>0</v>
      </c>
      <c r="PD530">
        <v>0</v>
      </c>
      <c r="PE530">
        <v>0</v>
      </c>
      <c r="PF530">
        <v>0</v>
      </c>
      <c r="PG530">
        <v>0</v>
      </c>
      <c r="PH530">
        <v>0</v>
      </c>
      <c r="PI530">
        <v>0</v>
      </c>
      <c r="PJ530">
        <v>0</v>
      </c>
      <c r="PK530">
        <v>0</v>
      </c>
      <c r="PL530">
        <v>0</v>
      </c>
      <c r="PM530">
        <v>0</v>
      </c>
      <c r="PN530">
        <v>0</v>
      </c>
      <c r="PO530">
        <v>0</v>
      </c>
      <c r="PP530">
        <v>0</v>
      </c>
      <c r="PQ530">
        <v>0</v>
      </c>
      <c r="PR530">
        <v>0</v>
      </c>
      <c r="PS530">
        <v>0</v>
      </c>
      <c r="PT530">
        <v>0</v>
      </c>
      <c r="PU530">
        <v>0</v>
      </c>
      <c r="PV530">
        <v>0</v>
      </c>
      <c r="PW530">
        <v>0</v>
      </c>
      <c r="PX530">
        <v>0</v>
      </c>
      <c r="PY530">
        <v>0</v>
      </c>
      <c r="PZ530">
        <v>0</v>
      </c>
      <c r="QA530">
        <v>0</v>
      </c>
      <c r="QB530">
        <v>0</v>
      </c>
      <c r="QC530">
        <v>0</v>
      </c>
      <c r="QD530">
        <v>0</v>
      </c>
      <c r="QE530">
        <v>0</v>
      </c>
      <c r="QF530">
        <v>0</v>
      </c>
      <c r="QG530">
        <v>0</v>
      </c>
      <c r="QH530">
        <v>0</v>
      </c>
      <c r="QI530">
        <v>0</v>
      </c>
      <c r="QJ530">
        <v>0</v>
      </c>
      <c r="QK530">
        <v>0</v>
      </c>
      <c r="QL530">
        <v>0</v>
      </c>
      <c r="QM530">
        <v>0</v>
      </c>
      <c r="QN530">
        <v>0</v>
      </c>
      <c r="QO530">
        <v>0</v>
      </c>
      <c r="QP530">
        <v>0</v>
      </c>
      <c r="QQ530">
        <v>0</v>
      </c>
      <c r="QR530">
        <v>0</v>
      </c>
      <c r="QS530">
        <v>0</v>
      </c>
      <c r="QT530">
        <v>0</v>
      </c>
      <c r="QU530">
        <v>0</v>
      </c>
      <c r="QV530">
        <v>0</v>
      </c>
      <c r="QW530">
        <v>0</v>
      </c>
      <c r="QX530">
        <v>0</v>
      </c>
      <c r="QY530">
        <v>0</v>
      </c>
    </row>
    <row r="531" spans="1:467" hidden="1" x14ac:dyDescent="0.4">
      <c r="A531" t="str">
        <f>"9784560094723"</f>
        <v>9784560094723</v>
      </c>
      <c r="B531" t="str">
        <f>"4560094721"</f>
        <v>4560094721</v>
      </c>
      <c r="C531" t="s">
        <v>2884</v>
      </c>
      <c r="D531" t="s">
        <v>2885</v>
      </c>
      <c r="E531" t="s">
        <v>839</v>
      </c>
      <c r="G531" t="str">
        <f>"0075"</f>
        <v>0075</v>
      </c>
      <c r="H531" t="s">
        <v>481</v>
      </c>
      <c r="I531" t="s">
        <v>1893</v>
      </c>
      <c r="J531" t="s">
        <v>1635</v>
      </c>
      <c r="L531" s="1">
        <v>44883</v>
      </c>
      <c r="M531">
        <v>2900</v>
      </c>
      <c r="N531">
        <v>6</v>
      </c>
      <c r="O531">
        <v>6</v>
      </c>
      <c r="P531">
        <v>6</v>
      </c>
      <c r="Q531">
        <v>6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1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1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1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1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1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0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0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0</v>
      </c>
      <c r="NK531">
        <v>0</v>
      </c>
      <c r="NL531">
        <v>0</v>
      </c>
      <c r="NM531">
        <v>0</v>
      </c>
      <c r="NN531">
        <v>0</v>
      </c>
      <c r="NO531">
        <v>0</v>
      </c>
      <c r="NP531">
        <v>0</v>
      </c>
      <c r="NQ531">
        <v>0</v>
      </c>
      <c r="NR531">
        <v>0</v>
      </c>
      <c r="NS531">
        <v>0</v>
      </c>
      <c r="NT531">
        <v>0</v>
      </c>
      <c r="NU531">
        <v>0</v>
      </c>
      <c r="NV531">
        <v>0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C531">
        <v>0</v>
      </c>
      <c r="OD531">
        <v>0</v>
      </c>
      <c r="OE531">
        <v>0</v>
      </c>
      <c r="OF531">
        <v>0</v>
      </c>
      <c r="OG531">
        <v>0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0</v>
      </c>
      <c r="PB531">
        <v>0</v>
      </c>
      <c r="PC531">
        <v>0</v>
      </c>
      <c r="PD531">
        <v>0</v>
      </c>
      <c r="PE531">
        <v>0</v>
      </c>
      <c r="PF531">
        <v>0</v>
      </c>
      <c r="PG531">
        <v>0</v>
      </c>
      <c r="PH531">
        <v>0</v>
      </c>
      <c r="PI531">
        <v>0</v>
      </c>
      <c r="PJ531">
        <v>0</v>
      </c>
      <c r="PK531">
        <v>0</v>
      </c>
      <c r="PL531">
        <v>0</v>
      </c>
      <c r="PM531">
        <v>0</v>
      </c>
      <c r="PN531">
        <v>0</v>
      </c>
      <c r="PO531">
        <v>0</v>
      </c>
      <c r="PP531">
        <v>0</v>
      </c>
      <c r="PQ531">
        <v>0</v>
      </c>
      <c r="PR531">
        <v>0</v>
      </c>
      <c r="PS531">
        <v>0</v>
      </c>
      <c r="PT531">
        <v>1</v>
      </c>
      <c r="PU531">
        <v>0</v>
      </c>
      <c r="PV531">
        <v>0</v>
      </c>
      <c r="PW531">
        <v>0</v>
      </c>
      <c r="PX531">
        <v>0</v>
      </c>
      <c r="PY531">
        <v>0</v>
      </c>
      <c r="PZ531">
        <v>0</v>
      </c>
      <c r="QA531">
        <v>0</v>
      </c>
      <c r="QB531">
        <v>0</v>
      </c>
      <c r="QC531">
        <v>0</v>
      </c>
      <c r="QD531">
        <v>0</v>
      </c>
      <c r="QE531">
        <v>0</v>
      </c>
      <c r="QF531">
        <v>0</v>
      </c>
      <c r="QG531">
        <v>0</v>
      </c>
      <c r="QH531">
        <v>0</v>
      </c>
      <c r="QI531">
        <v>0</v>
      </c>
      <c r="QJ531">
        <v>0</v>
      </c>
      <c r="QK531">
        <v>0</v>
      </c>
      <c r="QL531">
        <v>0</v>
      </c>
      <c r="QM531">
        <v>0</v>
      </c>
      <c r="QN531">
        <v>0</v>
      </c>
      <c r="QO531">
        <v>0</v>
      </c>
      <c r="QP531">
        <v>0</v>
      </c>
      <c r="QQ531">
        <v>0</v>
      </c>
      <c r="QR531">
        <v>0</v>
      </c>
      <c r="QS531">
        <v>0</v>
      </c>
      <c r="QT531">
        <v>0</v>
      </c>
      <c r="QU531">
        <v>0</v>
      </c>
      <c r="QV531">
        <v>0</v>
      </c>
      <c r="QW531">
        <v>0</v>
      </c>
      <c r="QX531">
        <v>0</v>
      </c>
      <c r="QY531">
        <v>0</v>
      </c>
    </row>
    <row r="532" spans="1:467" x14ac:dyDescent="0.4">
      <c r="A532" t="str">
        <f>"9784065266113"</f>
        <v>9784065266113</v>
      </c>
      <c r="B532" t="str">
        <f>"4065266114"</f>
        <v>4065266114</v>
      </c>
      <c r="C532" t="s">
        <v>2886</v>
      </c>
      <c r="D532" t="s">
        <v>2008</v>
      </c>
      <c r="E532" t="s">
        <v>548</v>
      </c>
      <c r="F532" t="s">
        <v>2009</v>
      </c>
      <c r="G532" t="str">
        <f>"9979"</f>
        <v>9979</v>
      </c>
      <c r="H532" t="s">
        <v>1855</v>
      </c>
      <c r="I532" t="s">
        <v>1856</v>
      </c>
      <c r="J532" t="s">
        <v>1856</v>
      </c>
      <c r="L532" s="1">
        <v>44643</v>
      </c>
      <c r="M532">
        <v>1100</v>
      </c>
      <c r="N532">
        <v>6</v>
      </c>
      <c r="O532">
        <v>5</v>
      </c>
      <c r="P532">
        <v>6</v>
      </c>
      <c r="Q532">
        <v>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1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2</v>
      </c>
      <c r="IZ532">
        <v>0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1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1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0</v>
      </c>
      <c r="NG532">
        <v>0</v>
      </c>
      <c r="NH532">
        <v>0</v>
      </c>
      <c r="NI532">
        <v>0</v>
      </c>
      <c r="NJ532">
        <v>0</v>
      </c>
      <c r="NK532">
        <v>0</v>
      </c>
      <c r="NL532">
        <v>0</v>
      </c>
      <c r="NM532">
        <v>0</v>
      </c>
      <c r="NN532">
        <v>0</v>
      </c>
      <c r="NO532">
        <v>0</v>
      </c>
      <c r="NP532">
        <v>0</v>
      </c>
      <c r="NQ532">
        <v>0</v>
      </c>
      <c r="NR532">
        <v>0</v>
      </c>
      <c r="NS532">
        <v>0</v>
      </c>
      <c r="NT532">
        <v>0</v>
      </c>
      <c r="NU532">
        <v>0</v>
      </c>
      <c r="NV532">
        <v>0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C532">
        <v>0</v>
      </c>
      <c r="OD532">
        <v>0</v>
      </c>
      <c r="OE532">
        <v>0</v>
      </c>
      <c r="OF532">
        <v>0</v>
      </c>
      <c r="OG532">
        <v>1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0</v>
      </c>
      <c r="ON532">
        <v>0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0</v>
      </c>
      <c r="PB532">
        <v>0</v>
      </c>
      <c r="PC532">
        <v>0</v>
      </c>
      <c r="PD532">
        <v>0</v>
      </c>
      <c r="PE532">
        <v>0</v>
      </c>
      <c r="PF532">
        <v>0</v>
      </c>
      <c r="PG532">
        <v>0</v>
      </c>
      <c r="PH532">
        <v>0</v>
      </c>
      <c r="PI532">
        <v>0</v>
      </c>
      <c r="PJ532">
        <v>0</v>
      </c>
      <c r="PK532">
        <v>0</v>
      </c>
      <c r="PL532">
        <v>0</v>
      </c>
      <c r="PM532">
        <v>0</v>
      </c>
      <c r="PN532">
        <v>0</v>
      </c>
      <c r="PO532">
        <v>0</v>
      </c>
      <c r="PP532">
        <v>0</v>
      </c>
      <c r="PQ532">
        <v>0</v>
      </c>
      <c r="PR532">
        <v>0</v>
      </c>
      <c r="PS532">
        <v>0</v>
      </c>
      <c r="PT532">
        <v>0</v>
      </c>
      <c r="PU532">
        <v>0</v>
      </c>
      <c r="PV532">
        <v>0</v>
      </c>
      <c r="PW532">
        <v>0</v>
      </c>
      <c r="PX532">
        <v>0</v>
      </c>
      <c r="PY532">
        <v>0</v>
      </c>
      <c r="PZ532">
        <v>0</v>
      </c>
      <c r="QA532">
        <v>0</v>
      </c>
      <c r="QB532">
        <v>0</v>
      </c>
      <c r="QC532">
        <v>0</v>
      </c>
      <c r="QD532">
        <v>0</v>
      </c>
      <c r="QE532">
        <v>0</v>
      </c>
      <c r="QF532">
        <v>0</v>
      </c>
      <c r="QG532">
        <v>0</v>
      </c>
      <c r="QH532">
        <v>0</v>
      </c>
      <c r="QI532">
        <v>0</v>
      </c>
      <c r="QJ532">
        <v>0</v>
      </c>
      <c r="QK532">
        <v>0</v>
      </c>
      <c r="QL532">
        <v>0</v>
      </c>
      <c r="QM532">
        <v>0</v>
      </c>
      <c r="QN532">
        <v>0</v>
      </c>
      <c r="QO532">
        <v>0</v>
      </c>
      <c r="QP532">
        <v>0</v>
      </c>
      <c r="QQ532">
        <v>0</v>
      </c>
      <c r="QR532">
        <v>0</v>
      </c>
      <c r="QS532">
        <v>0</v>
      </c>
      <c r="QT532">
        <v>0</v>
      </c>
      <c r="QU532">
        <v>0</v>
      </c>
      <c r="QV532">
        <v>0</v>
      </c>
      <c r="QW532">
        <v>0</v>
      </c>
      <c r="QX532">
        <v>0</v>
      </c>
      <c r="QY532">
        <v>0</v>
      </c>
    </row>
    <row r="533" spans="1:467" x14ac:dyDescent="0.4">
      <c r="A533" t="str">
        <f>"9784065303368"</f>
        <v>9784065303368</v>
      </c>
      <c r="B533" t="str">
        <f>"4065303362"</f>
        <v>4065303362</v>
      </c>
      <c r="C533" t="s">
        <v>2887</v>
      </c>
      <c r="D533" t="s">
        <v>2888</v>
      </c>
      <c r="E533" t="s">
        <v>548</v>
      </c>
      <c r="F533" t="s">
        <v>1862</v>
      </c>
      <c r="G533" t="str">
        <f>"9979"</f>
        <v>9979</v>
      </c>
      <c r="H533" t="s">
        <v>1855</v>
      </c>
      <c r="I533" t="s">
        <v>1856</v>
      </c>
      <c r="J533" t="s">
        <v>1856</v>
      </c>
      <c r="L533" s="1">
        <v>44932</v>
      </c>
      <c r="M533">
        <v>480</v>
      </c>
      <c r="N533">
        <v>6</v>
      </c>
      <c r="O533">
        <v>3</v>
      </c>
      <c r="P533">
        <v>6</v>
      </c>
      <c r="Q533">
        <v>3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4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1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1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0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0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0</v>
      </c>
      <c r="NK533">
        <v>0</v>
      </c>
      <c r="NL533">
        <v>0</v>
      </c>
      <c r="NM533">
        <v>0</v>
      </c>
      <c r="NN533">
        <v>0</v>
      </c>
      <c r="NO533">
        <v>0</v>
      </c>
      <c r="NP533">
        <v>0</v>
      </c>
      <c r="NQ533">
        <v>0</v>
      </c>
      <c r="NR533">
        <v>0</v>
      </c>
      <c r="NS533">
        <v>0</v>
      </c>
      <c r="NT533">
        <v>0</v>
      </c>
      <c r="NU533">
        <v>0</v>
      </c>
      <c r="NV533">
        <v>0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C533">
        <v>0</v>
      </c>
      <c r="OD533">
        <v>0</v>
      </c>
      <c r="OE533">
        <v>0</v>
      </c>
      <c r="OF533">
        <v>0</v>
      </c>
      <c r="OG533">
        <v>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  <c r="PB533">
        <v>0</v>
      </c>
      <c r="PC533">
        <v>0</v>
      </c>
      <c r="PD533">
        <v>0</v>
      </c>
      <c r="PE533">
        <v>0</v>
      </c>
      <c r="PF533">
        <v>0</v>
      </c>
      <c r="PG533">
        <v>0</v>
      </c>
      <c r="PH533">
        <v>0</v>
      </c>
      <c r="PI533">
        <v>0</v>
      </c>
      <c r="PJ533">
        <v>0</v>
      </c>
      <c r="PK533">
        <v>0</v>
      </c>
      <c r="PL533">
        <v>0</v>
      </c>
      <c r="PM533">
        <v>0</v>
      </c>
      <c r="PN533">
        <v>0</v>
      </c>
      <c r="PO533">
        <v>0</v>
      </c>
      <c r="PP533">
        <v>0</v>
      </c>
      <c r="PQ533">
        <v>0</v>
      </c>
      <c r="PR533">
        <v>0</v>
      </c>
      <c r="PS533">
        <v>0</v>
      </c>
      <c r="PT533">
        <v>0</v>
      </c>
      <c r="PU533">
        <v>0</v>
      </c>
      <c r="PV533">
        <v>0</v>
      </c>
      <c r="PW533">
        <v>0</v>
      </c>
      <c r="PX533">
        <v>0</v>
      </c>
      <c r="PY533">
        <v>0</v>
      </c>
      <c r="PZ533">
        <v>0</v>
      </c>
      <c r="QA533">
        <v>0</v>
      </c>
      <c r="QB533">
        <v>0</v>
      </c>
      <c r="QC533">
        <v>0</v>
      </c>
      <c r="QD533">
        <v>0</v>
      </c>
      <c r="QE533">
        <v>0</v>
      </c>
      <c r="QF533">
        <v>0</v>
      </c>
      <c r="QG533">
        <v>0</v>
      </c>
      <c r="QH533">
        <v>0</v>
      </c>
      <c r="QI533">
        <v>0</v>
      </c>
      <c r="QJ533">
        <v>0</v>
      </c>
      <c r="QK533">
        <v>0</v>
      </c>
      <c r="QL533">
        <v>0</v>
      </c>
      <c r="QM533">
        <v>0</v>
      </c>
      <c r="QN533">
        <v>0</v>
      </c>
      <c r="QO533">
        <v>0</v>
      </c>
      <c r="QP533">
        <v>0</v>
      </c>
      <c r="QQ533">
        <v>0</v>
      </c>
      <c r="QR533">
        <v>0</v>
      </c>
      <c r="QS533">
        <v>0</v>
      </c>
      <c r="QT533">
        <v>0</v>
      </c>
      <c r="QU533">
        <v>0</v>
      </c>
      <c r="QV533">
        <v>0</v>
      </c>
      <c r="QW533">
        <v>0</v>
      </c>
      <c r="QX533">
        <v>0</v>
      </c>
      <c r="QY533">
        <v>0</v>
      </c>
    </row>
    <row r="534" spans="1:467" hidden="1" x14ac:dyDescent="0.4">
      <c r="A534" t="str">
        <f>"9784061272743"</f>
        <v>9784061272743</v>
      </c>
      <c r="B534" t="str">
        <f>"4061272748"</f>
        <v>4061272748</v>
      </c>
      <c r="C534" t="s">
        <v>2889</v>
      </c>
      <c r="D534" t="s">
        <v>2890</v>
      </c>
      <c r="E534" t="s">
        <v>548</v>
      </c>
      <c r="G534" t="str">
        <f>"8771"</f>
        <v>8771</v>
      </c>
      <c r="H534" t="s">
        <v>1923</v>
      </c>
      <c r="I534" t="s">
        <v>1924</v>
      </c>
      <c r="J534" t="s">
        <v>1437</v>
      </c>
      <c r="L534" s="1">
        <v>28399</v>
      </c>
      <c r="M534">
        <v>1500</v>
      </c>
      <c r="N534">
        <v>6</v>
      </c>
      <c r="O534">
        <v>5</v>
      </c>
      <c r="P534">
        <v>6</v>
      </c>
      <c r="Q534">
        <v>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2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1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</v>
      </c>
      <c r="MQ534">
        <v>0</v>
      </c>
      <c r="MR534">
        <v>0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0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0</v>
      </c>
      <c r="NK534">
        <v>0</v>
      </c>
      <c r="NL534">
        <v>0</v>
      </c>
      <c r="NM534">
        <v>0</v>
      </c>
      <c r="NN534">
        <v>0</v>
      </c>
      <c r="NO534">
        <v>0</v>
      </c>
      <c r="NP534">
        <v>0</v>
      </c>
      <c r="NQ534">
        <v>0</v>
      </c>
      <c r="NR534">
        <v>0</v>
      </c>
      <c r="NS534">
        <v>0</v>
      </c>
      <c r="NT534">
        <v>0</v>
      </c>
      <c r="NU534">
        <v>0</v>
      </c>
      <c r="NV534">
        <v>0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C534">
        <v>0</v>
      </c>
      <c r="OD534">
        <v>0</v>
      </c>
      <c r="OE534">
        <v>0</v>
      </c>
      <c r="OF534">
        <v>0</v>
      </c>
      <c r="OG534">
        <v>0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0</v>
      </c>
      <c r="PB534">
        <v>0</v>
      </c>
      <c r="PC534">
        <v>1</v>
      </c>
      <c r="PD534">
        <v>0</v>
      </c>
      <c r="PE534">
        <v>0</v>
      </c>
      <c r="PF534">
        <v>0</v>
      </c>
      <c r="PG534">
        <v>0</v>
      </c>
      <c r="PH534">
        <v>0</v>
      </c>
      <c r="PI534">
        <v>0</v>
      </c>
      <c r="PJ534">
        <v>0</v>
      </c>
      <c r="PK534">
        <v>0</v>
      </c>
      <c r="PL534">
        <v>0</v>
      </c>
      <c r="PM534">
        <v>0</v>
      </c>
      <c r="PN534">
        <v>0</v>
      </c>
      <c r="PO534">
        <v>0</v>
      </c>
      <c r="PP534">
        <v>0</v>
      </c>
      <c r="PQ534">
        <v>0</v>
      </c>
      <c r="PR534">
        <v>0</v>
      </c>
      <c r="PS534">
        <v>0</v>
      </c>
      <c r="PT534">
        <v>1</v>
      </c>
      <c r="PU534">
        <v>0</v>
      </c>
      <c r="PV534">
        <v>0</v>
      </c>
      <c r="PW534">
        <v>0</v>
      </c>
      <c r="PX534">
        <v>0</v>
      </c>
      <c r="PY534">
        <v>0</v>
      </c>
      <c r="PZ534">
        <v>0</v>
      </c>
      <c r="QA534">
        <v>0</v>
      </c>
      <c r="QB534">
        <v>0</v>
      </c>
      <c r="QC534">
        <v>0</v>
      </c>
      <c r="QD534">
        <v>0</v>
      </c>
      <c r="QE534">
        <v>0</v>
      </c>
      <c r="QF534">
        <v>0</v>
      </c>
      <c r="QG534">
        <v>0</v>
      </c>
      <c r="QH534">
        <v>0</v>
      </c>
      <c r="QI534">
        <v>0</v>
      </c>
      <c r="QJ534">
        <v>0</v>
      </c>
      <c r="QK534">
        <v>0</v>
      </c>
      <c r="QL534">
        <v>0</v>
      </c>
      <c r="QM534">
        <v>0</v>
      </c>
      <c r="QN534">
        <v>0</v>
      </c>
      <c r="QO534">
        <v>0</v>
      </c>
      <c r="QP534">
        <v>0</v>
      </c>
      <c r="QQ534">
        <v>0</v>
      </c>
      <c r="QR534">
        <v>0</v>
      </c>
      <c r="QS534">
        <v>0</v>
      </c>
      <c r="QT534">
        <v>0</v>
      </c>
      <c r="QU534">
        <v>0</v>
      </c>
      <c r="QV534">
        <v>0</v>
      </c>
      <c r="QW534">
        <v>0</v>
      </c>
      <c r="QX534">
        <v>1</v>
      </c>
      <c r="QY534">
        <v>0</v>
      </c>
    </row>
    <row r="535" spans="1:467" hidden="1" x14ac:dyDescent="0.4">
      <c r="A535" t="str">
        <f>"9784087817249"</f>
        <v>9784087817249</v>
      </c>
      <c r="B535" t="str">
        <f>"4087817245"</f>
        <v>4087817245</v>
      </c>
      <c r="C535" t="s">
        <v>2891</v>
      </c>
      <c r="D535" t="s">
        <v>2892</v>
      </c>
      <c r="E535" t="s">
        <v>536</v>
      </c>
      <c r="G535" t="str">
        <f>"0095"</f>
        <v>0095</v>
      </c>
      <c r="H535" t="s">
        <v>481</v>
      </c>
      <c r="I535" t="s">
        <v>1893</v>
      </c>
      <c r="J535" t="s">
        <v>509</v>
      </c>
      <c r="L535" s="1">
        <v>44890</v>
      </c>
      <c r="M535">
        <v>1600</v>
      </c>
      <c r="N535">
        <v>6</v>
      </c>
      <c r="O535">
        <v>6</v>
      </c>
      <c r="P535">
        <v>6</v>
      </c>
      <c r="Q535">
        <v>6</v>
      </c>
      <c r="R535">
        <v>0</v>
      </c>
      <c r="S535">
        <v>1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1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1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0</v>
      </c>
      <c r="HU535">
        <v>0</v>
      </c>
      <c r="HV535">
        <v>0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1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1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0</v>
      </c>
      <c r="MN535">
        <v>0</v>
      </c>
      <c r="MO535">
        <v>0</v>
      </c>
      <c r="MP535">
        <v>0</v>
      </c>
      <c r="MQ535">
        <v>0</v>
      </c>
      <c r="MR535">
        <v>0</v>
      </c>
      <c r="MS535">
        <v>0</v>
      </c>
      <c r="MT535">
        <v>0</v>
      </c>
      <c r="MU535">
        <v>0</v>
      </c>
      <c r="MV535">
        <v>0</v>
      </c>
      <c r="MW535">
        <v>0</v>
      </c>
      <c r="MX535">
        <v>0</v>
      </c>
      <c r="MY535">
        <v>0</v>
      </c>
      <c r="MZ535">
        <v>0</v>
      </c>
      <c r="NA535">
        <v>0</v>
      </c>
      <c r="NB535">
        <v>0</v>
      </c>
      <c r="NC535">
        <v>0</v>
      </c>
      <c r="ND535">
        <v>0</v>
      </c>
      <c r="NE535">
        <v>1</v>
      </c>
      <c r="NF535">
        <v>0</v>
      </c>
      <c r="NG535">
        <v>0</v>
      </c>
      <c r="NH535">
        <v>0</v>
      </c>
      <c r="NI535">
        <v>0</v>
      </c>
      <c r="NJ535">
        <v>0</v>
      </c>
      <c r="NK535">
        <v>0</v>
      </c>
      <c r="NL535">
        <v>0</v>
      </c>
      <c r="NM535">
        <v>0</v>
      </c>
      <c r="NN535">
        <v>0</v>
      </c>
      <c r="NO535">
        <v>0</v>
      </c>
      <c r="NP535">
        <v>0</v>
      </c>
      <c r="NQ535">
        <v>0</v>
      </c>
      <c r="NR535">
        <v>0</v>
      </c>
      <c r="NS535">
        <v>0</v>
      </c>
      <c r="NT535">
        <v>0</v>
      </c>
      <c r="NU535">
        <v>0</v>
      </c>
      <c r="NV535">
        <v>0</v>
      </c>
      <c r="NW535">
        <v>0</v>
      </c>
      <c r="NX535">
        <v>0</v>
      </c>
      <c r="NY535">
        <v>0</v>
      </c>
      <c r="NZ535">
        <v>0</v>
      </c>
      <c r="OA535">
        <v>0</v>
      </c>
      <c r="OB535">
        <v>0</v>
      </c>
      <c r="OC535">
        <v>0</v>
      </c>
      <c r="OD535">
        <v>0</v>
      </c>
      <c r="OE535">
        <v>0</v>
      </c>
      <c r="OF535">
        <v>0</v>
      </c>
      <c r="OG535">
        <v>0</v>
      </c>
      <c r="OH535">
        <v>0</v>
      </c>
      <c r="OI535">
        <v>0</v>
      </c>
      <c r="OJ535">
        <v>0</v>
      </c>
      <c r="OK535">
        <v>0</v>
      </c>
      <c r="OL535">
        <v>0</v>
      </c>
      <c r="OM535">
        <v>0</v>
      </c>
      <c r="ON535">
        <v>0</v>
      </c>
      <c r="OO535">
        <v>0</v>
      </c>
      <c r="OP535">
        <v>0</v>
      </c>
      <c r="OQ535">
        <v>0</v>
      </c>
      <c r="OR535">
        <v>0</v>
      </c>
      <c r="OS535">
        <v>0</v>
      </c>
      <c r="OT535">
        <v>0</v>
      </c>
      <c r="OU535">
        <v>0</v>
      </c>
      <c r="OV535">
        <v>0</v>
      </c>
      <c r="OW535">
        <v>0</v>
      </c>
      <c r="OX535">
        <v>0</v>
      </c>
      <c r="OY535">
        <v>0</v>
      </c>
      <c r="OZ535">
        <v>0</v>
      </c>
      <c r="PA535">
        <v>0</v>
      </c>
      <c r="PB535">
        <v>0</v>
      </c>
      <c r="PC535">
        <v>0</v>
      </c>
      <c r="PD535">
        <v>0</v>
      </c>
      <c r="PE535">
        <v>0</v>
      </c>
      <c r="PF535">
        <v>0</v>
      </c>
      <c r="PG535">
        <v>0</v>
      </c>
      <c r="PH535">
        <v>0</v>
      </c>
      <c r="PI535">
        <v>0</v>
      </c>
      <c r="PJ535">
        <v>0</v>
      </c>
      <c r="PK535">
        <v>0</v>
      </c>
      <c r="PL535">
        <v>0</v>
      </c>
      <c r="PM535">
        <v>0</v>
      </c>
      <c r="PN535">
        <v>0</v>
      </c>
      <c r="PO535">
        <v>0</v>
      </c>
      <c r="PP535">
        <v>0</v>
      </c>
      <c r="PQ535">
        <v>0</v>
      </c>
      <c r="PR535">
        <v>0</v>
      </c>
      <c r="PS535">
        <v>0</v>
      </c>
      <c r="PT535">
        <v>0</v>
      </c>
      <c r="PU535">
        <v>0</v>
      </c>
      <c r="PV535">
        <v>0</v>
      </c>
      <c r="PW535">
        <v>0</v>
      </c>
      <c r="PX535">
        <v>0</v>
      </c>
      <c r="PY535">
        <v>0</v>
      </c>
      <c r="PZ535">
        <v>0</v>
      </c>
      <c r="QA535">
        <v>0</v>
      </c>
      <c r="QB535">
        <v>0</v>
      </c>
      <c r="QC535">
        <v>0</v>
      </c>
      <c r="QD535">
        <v>0</v>
      </c>
      <c r="QE535">
        <v>0</v>
      </c>
      <c r="QF535">
        <v>0</v>
      </c>
      <c r="QG535">
        <v>0</v>
      </c>
      <c r="QH535">
        <v>0</v>
      </c>
      <c r="QI535">
        <v>0</v>
      </c>
      <c r="QJ535">
        <v>0</v>
      </c>
      <c r="QK535">
        <v>0</v>
      </c>
      <c r="QL535">
        <v>0</v>
      </c>
      <c r="QM535">
        <v>0</v>
      </c>
      <c r="QN535">
        <v>0</v>
      </c>
      <c r="QO535">
        <v>0</v>
      </c>
      <c r="QP535">
        <v>0</v>
      </c>
      <c r="QQ535">
        <v>0</v>
      </c>
      <c r="QR535">
        <v>0</v>
      </c>
      <c r="QS535">
        <v>0</v>
      </c>
      <c r="QT535">
        <v>0</v>
      </c>
      <c r="QU535">
        <v>0</v>
      </c>
      <c r="QV535">
        <v>0</v>
      </c>
      <c r="QW535">
        <v>0</v>
      </c>
      <c r="QX535">
        <v>0</v>
      </c>
      <c r="QY535">
        <v>0</v>
      </c>
    </row>
    <row r="536" spans="1:467" hidden="1" x14ac:dyDescent="0.4">
      <c r="A536" t="str">
        <f>"9784908276255"</f>
        <v>9784908276255</v>
      </c>
      <c r="B536" t="str">
        <f>"4908276250"</f>
        <v>4908276250</v>
      </c>
      <c r="G536" t="str">
        <f>""</f>
        <v/>
      </c>
      <c r="L536" s="1">
        <v>44945</v>
      </c>
      <c r="M536">
        <v>0</v>
      </c>
      <c r="N536">
        <v>6</v>
      </c>
      <c r="O536">
        <v>1</v>
      </c>
      <c r="P536">
        <v>6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0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0</v>
      </c>
      <c r="MN536">
        <v>0</v>
      </c>
      <c r="MO536">
        <v>0</v>
      </c>
      <c r="MP536">
        <v>0</v>
      </c>
      <c r="MQ536">
        <v>0</v>
      </c>
      <c r="MR536">
        <v>0</v>
      </c>
      <c r="MS536">
        <v>0</v>
      </c>
      <c r="MT536">
        <v>0</v>
      </c>
      <c r="MU536">
        <v>0</v>
      </c>
      <c r="MV536">
        <v>0</v>
      </c>
      <c r="MW536">
        <v>0</v>
      </c>
      <c r="MX536">
        <v>0</v>
      </c>
      <c r="MY536">
        <v>0</v>
      </c>
      <c r="MZ536">
        <v>0</v>
      </c>
      <c r="NA536">
        <v>0</v>
      </c>
      <c r="NB536">
        <v>0</v>
      </c>
      <c r="NC536">
        <v>0</v>
      </c>
      <c r="ND536">
        <v>0</v>
      </c>
      <c r="NE536">
        <v>0</v>
      </c>
      <c r="NF536">
        <v>0</v>
      </c>
      <c r="NG536">
        <v>0</v>
      </c>
      <c r="NH536">
        <v>0</v>
      </c>
      <c r="NI536">
        <v>0</v>
      </c>
      <c r="NJ536">
        <v>0</v>
      </c>
      <c r="NK536">
        <v>0</v>
      </c>
      <c r="NL536">
        <v>0</v>
      </c>
      <c r="NM536">
        <v>0</v>
      </c>
      <c r="NN536">
        <v>0</v>
      </c>
      <c r="NO536">
        <v>0</v>
      </c>
      <c r="NP536">
        <v>0</v>
      </c>
      <c r="NQ536">
        <v>0</v>
      </c>
      <c r="NR536">
        <v>0</v>
      </c>
      <c r="NS536">
        <v>0</v>
      </c>
      <c r="NT536">
        <v>0</v>
      </c>
      <c r="NU536">
        <v>0</v>
      </c>
      <c r="NV536">
        <v>0</v>
      </c>
      <c r="NW536">
        <v>0</v>
      </c>
      <c r="NX536">
        <v>0</v>
      </c>
      <c r="NY536">
        <v>0</v>
      </c>
      <c r="NZ536">
        <v>0</v>
      </c>
      <c r="OA536">
        <v>0</v>
      </c>
      <c r="OB536">
        <v>0</v>
      </c>
      <c r="OC536">
        <v>0</v>
      </c>
      <c r="OD536">
        <v>0</v>
      </c>
      <c r="OE536">
        <v>0</v>
      </c>
      <c r="OF536">
        <v>0</v>
      </c>
      <c r="OG536">
        <v>0</v>
      </c>
      <c r="OH536">
        <v>0</v>
      </c>
      <c r="OI536">
        <v>0</v>
      </c>
      <c r="OJ536">
        <v>0</v>
      </c>
      <c r="OK536">
        <v>0</v>
      </c>
      <c r="OL536">
        <v>0</v>
      </c>
      <c r="OM536">
        <v>0</v>
      </c>
      <c r="ON536">
        <v>0</v>
      </c>
      <c r="OO536">
        <v>6</v>
      </c>
      <c r="OP536">
        <v>0</v>
      </c>
      <c r="OQ536">
        <v>0</v>
      </c>
      <c r="OR536">
        <v>0</v>
      </c>
      <c r="OS536">
        <v>0</v>
      </c>
      <c r="OT536">
        <v>0</v>
      </c>
      <c r="OU536">
        <v>0</v>
      </c>
      <c r="OV536">
        <v>0</v>
      </c>
      <c r="OW536">
        <v>0</v>
      </c>
      <c r="OX536">
        <v>0</v>
      </c>
      <c r="OY536">
        <v>0</v>
      </c>
      <c r="OZ536">
        <v>0</v>
      </c>
      <c r="PA536">
        <v>0</v>
      </c>
      <c r="PB536">
        <v>0</v>
      </c>
      <c r="PC536">
        <v>0</v>
      </c>
      <c r="PD536">
        <v>0</v>
      </c>
      <c r="PE536">
        <v>0</v>
      </c>
      <c r="PF536">
        <v>0</v>
      </c>
      <c r="PG536">
        <v>0</v>
      </c>
      <c r="PH536">
        <v>0</v>
      </c>
      <c r="PI536">
        <v>0</v>
      </c>
      <c r="PJ536">
        <v>0</v>
      </c>
      <c r="PK536">
        <v>0</v>
      </c>
      <c r="PL536">
        <v>0</v>
      </c>
      <c r="PM536">
        <v>0</v>
      </c>
      <c r="PN536">
        <v>0</v>
      </c>
      <c r="PO536">
        <v>0</v>
      </c>
      <c r="PP536">
        <v>0</v>
      </c>
      <c r="PQ536">
        <v>0</v>
      </c>
      <c r="PR536">
        <v>0</v>
      </c>
      <c r="PS536">
        <v>0</v>
      </c>
      <c r="PT536">
        <v>0</v>
      </c>
      <c r="PU536">
        <v>0</v>
      </c>
      <c r="PV536">
        <v>0</v>
      </c>
      <c r="PW536">
        <v>0</v>
      </c>
      <c r="PX536">
        <v>0</v>
      </c>
      <c r="PY536">
        <v>0</v>
      </c>
      <c r="PZ536">
        <v>0</v>
      </c>
      <c r="QA536">
        <v>0</v>
      </c>
      <c r="QB536">
        <v>0</v>
      </c>
      <c r="QC536">
        <v>0</v>
      </c>
      <c r="QD536">
        <v>0</v>
      </c>
      <c r="QE536">
        <v>0</v>
      </c>
      <c r="QF536">
        <v>0</v>
      </c>
      <c r="QG536">
        <v>0</v>
      </c>
      <c r="QH536">
        <v>0</v>
      </c>
      <c r="QI536">
        <v>0</v>
      </c>
      <c r="QJ536">
        <v>0</v>
      </c>
      <c r="QK536">
        <v>0</v>
      </c>
      <c r="QL536">
        <v>0</v>
      </c>
      <c r="QM536">
        <v>0</v>
      </c>
      <c r="QN536">
        <v>0</v>
      </c>
      <c r="QO536">
        <v>0</v>
      </c>
      <c r="QP536">
        <v>0</v>
      </c>
      <c r="QQ536">
        <v>0</v>
      </c>
      <c r="QR536">
        <v>0</v>
      </c>
      <c r="QS536">
        <v>0</v>
      </c>
      <c r="QT536">
        <v>0</v>
      </c>
      <c r="QU536">
        <v>0</v>
      </c>
      <c r="QV536">
        <v>0</v>
      </c>
      <c r="QW536">
        <v>0</v>
      </c>
      <c r="QX536">
        <v>0</v>
      </c>
      <c r="QY536">
        <v>0</v>
      </c>
    </row>
    <row r="537" spans="1:467" hidden="1" x14ac:dyDescent="0.4">
      <c r="A537" t="str">
        <f>"9784767830636"</f>
        <v>9784767830636</v>
      </c>
      <c r="B537" t="str">
        <f>"476783063X"</f>
        <v>476783063X</v>
      </c>
      <c r="C537" t="s">
        <v>2893</v>
      </c>
      <c r="D537" t="s">
        <v>2894</v>
      </c>
      <c r="E537" t="s">
        <v>2821</v>
      </c>
      <c r="G537" t="str">
        <f>"0026"</f>
        <v>0026</v>
      </c>
      <c r="H537" t="s">
        <v>481</v>
      </c>
      <c r="I537" t="s">
        <v>1893</v>
      </c>
      <c r="J537" t="s">
        <v>2110</v>
      </c>
      <c r="L537" s="1">
        <v>44873</v>
      </c>
      <c r="M537">
        <v>1800</v>
      </c>
      <c r="N537">
        <v>6</v>
      </c>
      <c r="O537">
        <v>6</v>
      </c>
      <c r="P537">
        <v>6</v>
      </c>
      <c r="Q537">
        <v>6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1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1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1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1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0</v>
      </c>
      <c r="MJ537">
        <v>0</v>
      </c>
      <c r="MK537">
        <v>0</v>
      </c>
      <c r="ML537">
        <v>0</v>
      </c>
      <c r="MM537">
        <v>0</v>
      </c>
      <c r="MN537">
        <v>0</v>
      </c>
      <c r="MO537">
        <v>0</v>
      </c>
      <c r="MP537">
        <v>0</v>
      </c>
      <c r="MQ537">
        <v>0</v>
      </c>
      <c r="MR537">
        <v>0</v>
      </c>
      <c r="MS537">
        <v>0</v>
      </c>
      <c r="MT537">
        <v>0</v>
      </c>
      <c r="MU537">
        <v>0</v>
      </c>
      <c r="MV537">
        <v>0</v>
      </c>
      <c r="MW537">
        <v>0</v>
      </c>
      <c r="MX537">
        <v>0</v>
      </c>
      <c r="MY537">
        <v>0</v>
      </c>
      <c r="MZ537">
        <v>0</v>
      </c>
      <c r="NA537">
        <v>0</v>
      </c>
      <c r="NB537">
        <v>0</v>
      </c>
      <c r="NC537">
        <v>0</v>
      </c>
      <c r="ND537">
        <v>0</v>
      </c>
      <c r="NE537">
        <v>1</v>
      </c>
      <c r="NF537">
        <v>0</v>
      </c>
      <c r="NG537">
        <v>0</v>
      </c>
      <c r="NH537">
        <v>0</v>
      </c>
      <c r="NI537">
        <v>0</v>
      </c>
      <c r="NJ537">
        <v>0</v>
      </c>
      <c r="NK537">
        <v>0</v>
      </c>
      <c r="NL537">
        <v>0</v>
      </c>
      <c r="NM537">
        <v>0</v>
      </c>
      <c r="NN537">
        <v>1</v>
      </c>
      <c r="NO537">
        <v>0</v>
      </c>
      <c r="NP537">
        <v>0</v>
      </c>
      <c r="NQ537">
        <v>0</v>
      </c>
      <c r="NR537">
        <v>0</v>
      </c>
      <c r="NS537">
        <v>0</v>
      </c>
      <c r="NT537">
        <v>0</v>
      </c>
      <c r="NU537">
        <v>0</v>
      </c>
      <c r="NV537">
        <v>0</v>
      </c>
      <c r="NW537">
        <v>0</v>
      </c>
      <c r="NX537">
        <v>0</v>
      </c>
      <c r="NY537">
        <v>0</v>
      </c>
      <c r="NZ537">
        <v>0</v>
      </c>
      <c r="OA537">
        <v>0</v>
      </c>
      <c r="OB537">
        <v>0</v>
      </c>
      <c r="OC537">
        <v>0</v>
      </c>
      <c r="OD537">
        <v>0</v>
      </c>
      <c r="OE537">
        <v>0</v>
      </c>
      <c r="OF537">
        <v>0</v>
      </c>
      <c r="OG537">
        <v>0</v>
      </c>
      <c r="OH537">
        <v>0</v>
      </c>
      <c r="OI537">
        <v>0</v>
      </c>
      <c r="OJ537">
        <v>0</v>
      </c>
      <c r="OK537">
        <v>0</v>
      </c>
      <c r="OL537">
        <v>0</v>
      </c>
      <c r="OM537">
        <v>0</v>
      </c>
      <c r="ON537">
        <v>0</v>
      </c>
      <c r="OO537">
        <v>0</v>
      </c>
      <c r="OP537">
        <v>0</v>
      </c>
      <c r="OQ537">
        <v>0</v>
      </c>
      <c r="OR537">
        <v>0</v>
      </c>
      <c r="OS537">
        <v>0</v>
      </c>
      <c r="OT537">
        <v>0</v>
      </c>
      <c r="OU537">
        <v>0</v>
      </c>
      <c r="OV537">
        <v>0</v>
      </c>
      <c r="OW537">
        <v>0</v>
      </c>
      <c r="OX537">
        <v>0</v>
      </c>
      <c r="OY537">
        <v>0</v>
      </c>
      <c r="OZ537">
        <v>0</v>
      </c>
      <c r="PA537">
        <v>0</v>
      </c>
      <c r="PB537">
        <v>0</v>
      </c>
      <c r="PC537">
        <v>0</v>
      </c>
      <c r="PD537">
        <v>0</v>
      </c>
      <c r="PE537">
        <v>0</v>
      </c>
      <c r="PF537">
        <v>0</v>
      </c>
      <c r="PG537">
        <v>0</v>
      </c>
      <c r="PH537">
        <v>0</v>
      </c>
      <c r="PI537">
        <v>0</v>
      </c>
      <c r="PJ537">
        <v>0</v>
      </c>
      <c r="PK537">
        <v>0</v>
      </c>
      <c r="PL537">
        <v>0</v>
      </c>
      <c r="PM537">
        <v>0</v>
      </c>
      <c r="PN537">
        <v>0</v>
      </c>
      <c r="PO537">
        <v>0</v>
      </c>
      <c r="PP537">
        <v>0</v>
      </c>
      <c r="PQ537">
        <v>0</v>
      </c>
      <c r="PR537">
        <v>0</v>
      </c>
      <c r="PS537">
        <v>0</v>
      </c>
      <c r="PT537">
        <v>0</v>
      </c>
      <c r="PU537">
        <v>0</v>
      </c>
      <c r="PV537">
        <v>0</v>
      </c>
      <c r="PW537">
        <v>0</v>
      </c>
      <c r="PX537">
        <v>0</v>
      </c>
      <c r="PY537">
        <v>0</v>
      </c>
      <c r="PZ537">
        <v>0</v>
      </c>
      <c r="QA537">
        <v>0</v>
      </c>
      <c r="QB537">
        <v>0</v>
      </c>
      <c r="QC537">
        <v>0</v>
      </c>
      <c r="QD537">
        <v>0</v>
      </c>
      <c r="QE537">
        <v>0</v>
      </c>
      <c r="QF537">
        <v>0</v>
      </c>
      <c r="QG537">
        <v>0</v>
      </c>
      <c r="QH537">
        <v>0</v>
      </c>
      <c r="QI537">
        <v>0</v>
      </c>
      <c r="QJ537">
        <v>0</v>
      </c>
      <c r="QK537">
        <v>0</v>
      </c>
      <c r="QL537">
        <v>0</v>
      </c>
      <c r="QM537">
        <v>0</v>
      </c>
      <c r="QN537">
        <v>0</v>
      </c>
      <c r="QO537">
        <v>0</v>
      </c>
      <c r="QP537">
        <v>0</v>
      </c>
      <c r="QQ537">
        <v>0</v>
      </c>
      <c r="QR537">
        <v>0</v>
      </c>
      <c r="QS537">
        <v>0</v>
      </c>
      <c r="QT537">
        <v>0</v>
      </c>
      <c r="QU537">
        <v>0</v>
      </c>
      <c r="QV537">
        <v>0</v>
      </c>
      <c r="QW537">
        <v>0</v>
      </c>
      <c r="QX537">
        <v>0</v>
      </c>
      <c r="QY537">
        <v>0</v>
      </c>
    </row>
    <row r="538" spans="1:467" hidden="1" x14ac:dyDescent="0.4">
      <c r="A538" t="str">
        <f>"9784418221424"</f>
        <v>9784418221424</v>
      </c>
      <c r="B538" t="str">
        <f>"4418221425"</f>
        <v>4418221425</v>
      </c>
      <c r="C538" t="s">
        <v>2895</v>
      </c>
      <c r="E538" t="s">
        <v>2896</v>
      </c>
      <c r="F538" t="s">
        <v>2897</v>
      </c>
      <c r="G538" t="str">
        <f>"9475"</f>
        <v>9475</v>
      </c>
      <c r="H538" t="s">
        <v>1855</v>
      </c>
      <c r="I538" t="s">
        <v>1884</v>
      </c>
      <c r="J538" t="s">
        <v>1635</v>
      </c>
      <c r="L538" s="1">
        <v>44918</v>
      </c>
      <c r="M538">
        <v>1091</v>
      </c>
      <c r="N538">
        <v>6</v>
      </c>
      <c r="O538">
        <v>5</v>
      </c>
      <c r="P538">
        <v>6</v>
      </c>
      <c r="Q538">
        <v>5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1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1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2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0</v>
      </c>
      <c r="HO538">
        <v>0</v>
      </c>
      <c r="HP538">
        <v>0</v>
      </c>
      <c r="HQ538">
        <v>0</v>
      </c>
      <c r="HR538">
        <v>0</v>
      </c>
      <c r="HS538">
        <v>0</v>
      </c>
      <c r="HT538">
        <v>0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0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0</v>
      </c>
      <c r="LZ538">
        <v>0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0</v>
      </c>
      <c r="MK538">
        <v>0</v>
      </c>
      <c r="ML538">
        <v>0</v>
      </c>
      <c r="MM538">
        <v>0</v>
      </c>
      <c r="MN538">
        <v>0</v>
      </c>
      <c r="MO538">
        <v>0</v>
      </c>
      <c r="MP538">
        <v>0</v>
      </c>
      <c r="MQ538">
        <v>0</v>
      </c>
      <c r="MR538">
        <v>0</v>
      </c>
      <c r="MS538">
        <v>0</v>
      </c>
      <c r="MT538">
        <v>0</v>
      </c>
      <c r="MU538">
        <v>0</v>
      </c>
      <c r="MV538">
        <v>0</v>
      </c>
      <c r="MW538">
        <v>0</v>
      </c>
      <c r="MX538">
        <v>0</v>
      </c>
      <c r="MY538">
        <v>0</v>
      </c>
      <c r="MZ538">
        <v>0</v>
      </c>
      <c r="NA538">
        <v>0</v>
      </c>
      <c r="NB538">
        <v>0</v>
      </c>
      <c r="NC538">
        <v>0</v>
      </c>
      <c r="ND538">
        <v>0</v>
      </c>
      <c r="NE538">
        <v>1</v>
      </c>
      <c r="NF538">
        <v>0</v>
      </c>
      <c r="NG538">
        <v>0</v>
      </c>
      <c r="NH538">
        <v>0</v>
      </c>
      <c r="NI538">
        <v>0</v>
      </c>
      <c r="NJ538">
        <v>0</v>
      </c>
      <c r="NK538">
        <v>0</v>
      </c>
      <c r="NL538">
        <v>0</v>
      </c>
      <c r="NM538">
        <v>0</v>
      </c>
      <c r="NN538">
        <v>0</v>
      </c>
      <c r="NO538">
        <v>0</v>
      </c>
      <c r="NP538">
        <v>0</v>
      </c>
      <c r="NQ538">
        <v>0</v>
      </c>
      <c r="NR538">
        <v>1</v>
      </c>
      <c r="NS538">
        <v>0</v>
      </c>
      <c r="NT538">
        <v>0</v>
      </c>
      <c r="NU538">
        <v>0</v>
      </c>
      <c r="NV538">
        <v>0</v>
      </c>
      <c r="NW538">
        <v>0</v>
      </c>
      <c r="NX538">
        <v>0</v>
      </c>
      <c r="NY538">
        <v>0</v>
      </c>
      <c r="NZ538">
        <v>0</v>
      </c>
      <c r="OA538">
        <v>0</v>
      </c>
      <c r="OB538">
        <v>0</v>
      </c>
      <c r="OC538">
        <v>0</v>
      </c>
      <c r="OD538">
        <v>0</v>
      </c>
      <c r="OE538">
        <v>0</v>
      </c>
      <c r="OF538">
        <v>0</v>
      </c>
      <c r="OG538">
        <v>0</v>
      </c>
      <c r="OH538">
        <v>0</v>
      </c>
      <c r="OI538">
        <v>0</v>
      </c>
      <c r="OJ538">
        <v>0</v>
      </c>
      <c r="OK538">
        <v>0</v>
      </c>
      <c r="OL538">
        <v>0</v>
      </c>
      <c r="OM538">
        <v>0</v>
      </c>
      <c r="ON538">
        <v>0</v>
      </c>
      <c r="OO538">
        <v>0</v>
      </c>
      <c r="OP538">
        <v>0</v>
      </c>
      <c r="OQ538">
        <v>0</v>
      </c>
      <c r="OR538">
        <v>0</v>
      </c>
      <c r="OS538">
        <v>0</v>
      </c>
      <c r="OT538">
        <v>0</v>
      </c>
      <c r="OU538">
        <v>0</v>
      </c>
      <c r="OV538">
        <v>0</v>
      </c>
      <c r="OW538">
        <v>0</v>
      </c>
      <c r="OX538">
        <v>0</v>
      </c>
      <c r="OY538">
        <v>0</v>
      </c>
      <c r="OZ538">
        <v>0</v>
      </c>
      <c r="PA538">
        <v>0</v>
      </c>
      <c r="PB538">
        <v>0</v>
      </c>
      <c r="PC538">
        <v>0</v>
      </c>
      <c r="PD538">
        <v>0</v>
      </c>
      <c r="PE538">
        <v>0</v>
      </c>
      <c r="PF538">
        <v>0</v>
      </c>
      <c r="PG538">
        <v>0</v>
      </c>
      <c r="PH538">
        <v>0</v>
      </c>
      <c r="PI538">
        <v>0</v>
      </c>
      <c r="PJ538">
        <v>0</v>
      </c>
      <c r="PK538">
        <v>0</v>
      </c>
      <c r="PL538">
        <v>0</v>
      </c>
      <c r="PM538">
        <v>0</v>
      </c>
      <c r="PN538">
        <v>0</v>
      </c>
      <c r="PO538">
        <v>0</v>
      </c>
      <c r="PP538">
        <v>0</v>
      </c>
      <c r="PQ538">
        <v>0</v>
      </c>
      <c r="PR538">
        <v>0</v>
      </c>
      <c r="PS538">
        <v>0</v>
      </c>
      <c r="PT538">
        <v>0</v>
      </c>
      <c r="PU538">
        <v>0</v>
      </c>
      <c r="PV538">
        <v>0</v>
      </c>
      <c r="PW538">
        <v>0</v>
      </c>
      <c r="PX538">
        <v>0</v>
      </c>
      <c r="PY538">
        <v>0</v>
      </c>
      <c r="PZ538">
        <v>0</v>
      </c>
      <c r="QA538">
        <v>0</v>
      </c>
      <c r="QB538">
        <v>0</v>
      </c>
      <c r="QC538">
        <v>0</v>
      </c>
      <c r="QD538">
        <v>0</v>
      </c>
      <c r="QE538">
        <v>0</v>
      </c>
      <c r="QF538">
        <v>0</v>
      </c>
      <c r="QG538">
        <v>0</v>
      </c>
      <c r="QH538">
        <v>0</v>
      </c>
      <c r="QI538">
        <v>0</v>
      </c>
      <c r="QJ538">
        <v>0</v>
      </c>
      <c r="QK538">
        <v>0</v>
      </c>
      <c r="QL538">
        <v>0</v>
      </c>
      <c r="QM538">
        <v>0</v>
      </c>
      <c r="QN538">
        <v>0</v>
      </c>
      <c r="QO538">
        <v>0</v>
      </c>
      <c r="QP538">
        <v>0</v>
      </c>
      <c r="QQ538">
        <v>0</v>
      </c>
      <c r="QR538">
        <v>0</v>
      </c>
      <c r="QS538">
        <v>0</v>
      </c>
      <c r="QT538">
        <v>0</v>
      </c>
      <c r="QU538">
        <v>0</v>
      </c>
      <c r="QV538">
        <v>0</v>
      </c>
      <c r="QW538">
        <v>0</v>
      </c>
      <c r="QX538">
        <v>0</v>
      </c>
      <c r="QY538">
        <v>0</v>
      </c>
    </row>
    <row r="539" spans="1:467" hidden="1" x14ac:dyDescent="0.4">
      <c r="A539" t="str">
        <f>"9784864108775"</f>
        <v>9784864108775</v>
      </c>
      <c r="B539" t="str">
        <f>"4864108773"</f>
        <v>4864108773</v>
      </c>
      <c r="C539" t="s">
        <v>2898</v>
      </c>
      <c r="D539" t="s">
        <v>2899</v>
      </c>
      <c r="E539" t="s">
        <v>2404</v>
      </c>
      <c r="G539" t="str">
        <f>"0076"</f>
        <v>0076</v>
      </c>
      <c r="H539" t="s">
        <v>481</v>
      </c>
      <c r="I539" t="s">
        <v>1893</v>
      </c>
      <c r="J539" t="s">
        <v>552</v>
      </c>
      <c r="L539" s="1">
        <v>44646</v>
      </c>
      <c r="M539">
        <v>1400</v>
      </c>
      <c r="N539">
        <v>6</v>
      </c>
      <c r="O539">
        <v>6</v>
      </c>
      <c r="P539">
        <v>6</v>
      </c>
      <c r="Q539">
        <v>6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1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1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0</v>
      </c>
      <c r="JE539">
        <v>0</v>
      </c>
      <c r="JF539">
        <v>1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0</v>
      </c>
      <c r="JM539">
        <v>1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1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  <c r="MN539">
        <v>0</v>
      </c>
      <c r="MO539">
        <v>0</v>
      </c>
      <c r="MP539">
        <v>0</v>
      </c>
      <c r="MQ539">
        <v>0</v>
      </c>
      <c r="MR539">
        <v>0</v>
      </c>
      <c r="MS539">
        <v>0</v>
      </c>
      <c r="MT539">
        <v>0</v>
      </c>
      <c r="MU539">
        <v>0</v>
      </c>
      <c r="MV539">
        <v>0</v>
      </c>
      <c r="MW539">
        <v>0</v>
      </c>
      <c r="MX539">
        <v>0</v>
      </c>
      <c r="MY539">
        <v>0</v>
      </c>
      <c r="MZ539">
        <v>0</v>
      </c>
      <c r="NA539">
        <v>0</v>
      </c>
      <c r="NB539">
        <v>0</v>
      </c>
      <c r="NC539">
        <v>0</v>
      </c>
      <c r="ND539">
        <v>0</v>
      </c>
      <c r="NE539">
        <v>0</v>
      </c>
      <c r="NF539">
        <v>0</v>
      </c>
      <c r="NG539">
        <v>0</v>
      </c>
      <c r="NH539">
        <v>0</v>
      </c>
      <c r="NI539">
        <v>0</v>
      </c>
      <c r="NJ539">
        <v>0</v>
      </c>
      <c r="NK539">
        <v>0</v>
      </c>
      <c r="NL539">
        <v>0</v>
      </c>
      <c r="NM539">
        <v>0</v>
      </c>
      <c r="NN539">
        <v>0</v>
      </c>
      <c r="NO539">
        <v>0</v>
      </c>
      <c r="NP539">
        <v>0</v>
      </c>
      <c r="NQ539">
        <v>0</v>
      </c>
      <c r="NR539">
        <v>0</v>
      </c>
      <c r="NS539">
        <v>0</v>
      </c>
      <c r="NT539">
        <v>0</v>
      </c>
      <c r="NU539">
        <v>0</v>
      </c>
      <c r="NV539">
        <v>0</v>
      </c>
      <c r="NW539">
        <v>0</v>
      </c>
      <c r="NX539">
        <v>0</v>
      </c>
      <c r="NY539">
        <v>0</v>
      </c>
      <c r="NZ539">
        <v>0</v>
      </c>
      <c r="OA539">
        <v>0</v>
      </c>
      <c r="OB539">
        <v>0</v>
      </c>
      <c r="OC539">
        <v>0</v>
      </c>
      <c r="OD539">
        <v>0</v>
      </c>
      <c r="OE539">
        <v>0</v>
      </c>
      <c r="OF539">
        <v>0</v>
      </c>
      <c r="OG539">
        <v>1</v>
      </c>
      <c r="OH539">
        <v>0</v>
      </c>
      <c r="OI539">
        <v>0</v>
      </c>
      <c r="OJ539">
        <v>0</v>
      </c>
      <c r="OK539">
        <v>0</v>
      </c>
      <c r="OL539">
        <v>0</v>
      </c>
      <c r="OM539">
        <v>0</v>
      </c>
      <c r="ON539">
        <v>0</v>
      </c>
      <c r="OO539">
        <v>0</v>
      </c>
      <c r="OP539">
        <v>0</v>
      </c>
      <c r="OQ539">
        <v>0</v>
      </c>
      <c r="OR539">
        <v>0</v>
      </c>
      <c r="OS539">
        <v>0</v>
      </c>
      <c r="OT539">
        <v>0</v>
      </c>
      <c r="OU539">
        <v>0</v>
      </c>
      <c r="OV539">
        <v>0</v>
      </c>
      <c r="OW539">
        <v>0</v>
      </c>
      <c r="OX539">
        <v>0</v>
      </c>
      <c r="OY539">
        <v>0</v>
      </c>
      <c r="OZ539">
        <v>0</v>
      </c>
      <c r="PA539">
        <v>0</v>
      </c>
      <c r="PB539">
        <v>0</v>
      </c>
      <c r="PC539">
        <v>0</v>
      </c>
      <c r="PD539">
        <v>0</v>
      </c>
      <c r="PE539">
        <v>0</v>
      </c>
      <c r="PF539">
        <v>0</v>
      </c>
      <c r="PG539">
        <v>0</v>
      </c>
      <c r="PH539">
        <v>0</v>
      </c>
      <c r="PI539">
        <v>0</v>
      </c>
      <c r="PJ539">
        <v>0</v>
      </c>
      <c r="PK539">
        <v>0</v>
      </c>
      <c r="PL539">
        <v>0</v>
      </c>
      <c r="PM539">
        <v>0</v>
      </c>
      <c r="PN539">
        <v>0</v>
      </c>
      <c r="PO539">
        <v>0</v>
      </c>
      <c r="PP539">
        <v>0</v>
      </c>
      <c r="PQ539">
        <v>0</v>
      </c>
      <c r="PR539">
        <v>0</v>
      </c>
      <c r="PS539">
        <v>0</v>
      </c>
      <c r="PT539">
        <v>0</v>
      </c>
      <c r="PU539">
        <v>0</v>
      </c>
      <c r="PV539">
        <v>0</v>
      </c>
      <c r="PW539">
        <v>0</v>
      </c>
      <c r="PX539">
        <v>0</v>
      </c>
      <c r="PY539">
        <v>0</v>
      </c>
      <c r="PZ539">
        <v>0</v>
      </c>
      <c r="QA539">
        <v>0</v>
      </c>
      <c r="QB539">
        <v>0</v>
      </c>
      <c r="QC539">
        <v>0</v>
      </c>
      <c r="QD539">
        <v>0</v>
      </c>
      <c r="QE539">
        <v>0</v>
      </c>
      <c r="QF539">
        <v>0</v>
      </c>
      <c r="QG539">
        <v>0</v>
      </c>
      <c r="QH539">
        <v>0</v>
      </c>
      <c r="QI539">
        <v>0</v>
      </c>
      <c r="QJ539">
        <v>0</v>
      </c>
      <c r="QK539">
        <v>0</v>
      </c>
      <c r="QL539">
        <v>0</v>
      </c>
      <c r="QM539">
        <v>0</v>
      </c>
      <c r="QN539">
        <v>0</v>
      </c>
      <c r="QO539">
        <v>0</v>
      </c>
      <c r="QP539">
        <v>0</v>
      </c>
      <c r="QQ539">
        <v>0</v>
      </c>
      <c r="QR539">
        <v>0</v>
      </c>
      <c r="QS539">
        <v>0</v>
      </c>
      <c r="QT539">
        <v>0</v>
      </c>
      <c r="QU539">
        <v>0</v>
      </c>
      <c r="QV539">
        <v>0</v>
      </c>
      <c r="QW539">
        <v>0</v>
      </c>
      <c r="QX539">
        <v>0</v>
      </c>
      <c r="QY539">
        <v>0</v>
      </c>
    </row>
    <row r="540" spans="1:467" x14ac:dyDescent="0.4">
      <c r="A540" t="str">
        <f>"9784088833897"</f>
        <v>9784088833897</v>
      </c>
      <c r="B540" t="str">
        <f>"4088833899"</f>
        <v>4088833899</v>
      </c>
      <c r="C540" t="s">
        <v>2900</v>
      </c>
      <c r="D540" t="s">
        <v>2901</v>
      </c>
      <c r="E540" t="s">
        <v>536</v>
      </c>
      <c r="F540" t="s">
        <v>1854</v>
      </c>
      <c r="G540" t="str">
        <f>"9979"</f>
        <v>9979</v>
      </c>
      <c r="H540" t="s">
        <v>1855</v>
      </c>
      <c r="I540" t="s">
        <v>1856</v>
      </c>
      <c r="J540" t="s">
        <v>1856</v>
      </c>
      <c r="L540" s="1">
        <v>44897</v>
      </c>
      <c r="M540">
        <v>480</v>
      </c>
      <c r="N540">
        <v>6</v>
      </c>
      <c r="O540">
        <v>6</v>
      </c>
      <c r="P540">
        <v>6</v>
      </c>
      <c r="Q540">
        <v>6</v>
      </c>
      <c r="R540">
        <v>0</v>
      </c>
      <c r="S540">
        <v>0</v>
      </c>
      <c r="T540">
        <v>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1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0</v>
      </c>
      <c r="HS540">
        <v>0</v>
      </c>
      <c r="HT540">
        <v>0</v>
      </c>
      <c r="HU540">
        <v>0</v>
      </c>
      <c r="HV540">
        <v>0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1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1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  <c r="MN540">
        <v>0</v>
      </c>
      <c r="MO540">
        <v>0</v>
      </c>
      <c r="MP540">
        <v>0</v>
      </c>
      <c r="MQ540">
        <v>0</v>
      </c>
      <c r="MR540">
        <v>0</v>
      </c>
      <c r="MS540">
        <v>0</v>
      </c>
      <c r="MT540">
        <v>0</v>
      </c>
      <c r="MU540">
        <v>0</v>
      </c>
      <c r="MV540">
        <v>0</v>
      </c>
      <c r="MW540">
        <v>0</v>
      </c>
      <c r="MX540">
        <v>0</v>
      </c>
      <c r="MY540">
        <v>0</v>
      </c>
      <c r="MZ540">
        <v>0</v>
      </c>
      <c r="NA540">
        <v>0</v>
      </c>
      <c r="NB540">
        <v>0</v>
      </c>
      <c r="NC540">
        <v>0</v>
      </c>
      <c r="ND540">
        <v>0</v>
      </c>
      <c r="NE540">
        <v>0</v>
      </c>
      <c r="NF540">
        <v>0</v>
      </c>
      <c r="NG540">
        <v>0</v>
      </c>
      <c r="NH540">
        <v>0</v>
      </c>
      <c r="NI540">
        <v>0</v>
      </c>
      <c r="NJ540">
        <v>0</v>
      </c>
      <c r="NK540">
        <v>0</v>
      </c>
      <c r="NL540">
        <v>0</v>
      </c>
      <c r="NM540">
        <v>0</v>
      </c>
      <c r="NN540">
        <v>0</v>
      </c>
      <c r="NO540">
        <v>0</v>
      </c>
      <c r="NP540">
        <v>0</v>
      </c>
      <c r="NQ540">
        <v>0</v>
      </c>
      <c r="NR540">
        <v>0</v>
      </c>
      <c r="NS540">
        <v>0</v>
      </c>
      <c r="NT540">
        <v>0</v>
      </c>
      <c r="NU540">
        <v>0</v>
      </c>
      <c r="NV540">
        <v>0</v>
      </c>
      <c r="NW540">
        <v>0</v>
      </c>
      <c r="NX540">
        <v>0</v>
      </c>
      <c r="NY540">
        <v>0</v>
      </c>
      <c r="NZ540">
        <v>0</v>
      </c>
      <c r="OA540">
        <v>0</v>
      </c>
      <c r="OB540">
        <v>0</v>
      </c>
      <c r="OC540">
        <v>0</v>
      </c>
      <c r="OD540">
        <v>0</v>
      </c>
      <c r="OE540">
        <v>0</v>
      </c>
      <c r="OF540">
        <v>0</v>
      </c>
      <c r="OG540">
        <v>0</v>
      </c>
      <c r="OH540">
        <v>0</v>
      </c>
      <c r="OI540">
        <v>0</v>
      </c>
      <c r="OJ540">
        <v>0</v>
      </c>
      <c r="OK540">
        <v>0</v>
      </c>
      <c r="OL540">
        <v>0</v>
      </c>
      <c r="OM540">
        <v>0</v>
      </c>
      <c r="ON540">
        <v>0</v>
      </c>
      <c r="OO540">
        <v>0</v>
      </c>
      <c r="OP540">
        <v>0</v>
      </c>
      <c r="OQ540">
        <v>0</v>
      </c>
      <c r="OR540">
        <v>0</v>
      </c>
      <c r="OS540">
        <v>0</v>
      </c>
      <c r="OT540">
        <v>0</v>
      </c>
      <c r="OU540">
        <v>0</v>
      </c>
      <c r="OV540">
        <v>0</v>
      </c>
      <c r="OW540">
        <v>0</v>
      </c>
      <c r="OX540">
        <v>0</v>
      </c>
      <c r="OY540">
        <v>0</v>
      </c>
      <c r="OZ540">
        <v>0</v>
      </c>
      <c r="PA540">
        <v>0</v>
      </c>
      <c r="PB540">
        <v>0</v>
      </c>
      <c r="PC540">
        <v>0</v>
      </c>
      <c r="PD540">
        <v>0</v>
      </c>
      <c r="PE540">
        <v>0</v>
      </c>
      <c r="PF540">
        <v>0</v>
      </c>
      <c r="PG540">
        <v>0</v>
      </c>
      <c r="PH540">
        <v>0</v>
      </c>
      <c r="PI540">
        <v>0</v>
      </c>
      <c r="PJ540">
        <v>0</v>
      </c>
      <c r="PK540">
        <v>0</v>
      </c>
      <c r="PL540">
        <v>0</v>
      </c>
      <c r="PM540">
        <v>0</v>
      </c>
      <c r="PN540">
        <v>0</v>
      </c>
      <c r="PO540">
        <v>0</v>
      </c>
      <c r="PP540">
        <v>0</v>
      </c>
      <c r="PQ540">
        <v>0</v>
      </c>
      <c r="PR540">
        <v>0</v>
      </c>
      <c r="PS540">
        <v>0</v>
      </c>
      <c r="PT540">
        <v>0</v>
      </c>
      <c r="PU540">
        <v>0</v>
      </c>
      <c r="PV540">
        <v>0</v>
      </c>
      <c r="PW540">
        <v>0</v>
      </c>
      <c r="PX540">
        <v>0</v>
      </c>
      <c r="PY540">
        <v>0</v>
      </c>
      <c r="PZ540">
        <v>0</v>
      </c>
      <c r="QA540">
        <v>0</v>
      </c>
      <c r="QB540">
        <v>0</v>
      </c>
      <c r="QC540">
        <v>0</v>
      </c>
      <c r="QD540">
        <v>0</v>
      </c>
      <c r="QE540">
        <v>0</v>
      </c>
      <c r="QF540">
        <v>0</v>
      </c>
      <c r="QG540">
        <v>0</v>
      </c>
      <c r="QH540">
        <v>0</v>
      </c>
      <c r="QI540">
        <v>0</v>
      </c>
      <c r="QJ540">
        <v>0</v>
      </c>
      <c r="QK540">
        <v>1</v>
      </c>
      <c r="QL540">
        <v>0</v>
      </c>
      <c r="QM540">
        <v>0</v>
      </c>
      <c r="QN540">
        <v>0</v>
      </c>
      <c r="QO540">
        <v>0</v>
      </c>
      <c r="QP540">
        <v>0</v>
      </c>
      <c r="QQ540">
        <v>0</v>
      </c>
      <c r="QR540">
        <v>0</v>
      </c>
      <c r="QS540">
        <v>0</v>
      </c>
      <c r="QT540">
        <v>0</v>
      </c>
      <c r="QU540">
        <v>0</v>
      </c>
      <c r="QV540">
        <v>0</v>
      </c>
      <c r="QW540">
        <v>0</v>
      </c>
      <c r="QX540">
        <v>0</v>
      </c>
      <c r="QY540">
        <v>0</v>
      </c>
    </row>
    <row r="541" spans="1:467" hidden="1" x14ac:dyDescent="0.4">
      <c r="A541" t="str">
        <f>"9784152099488"</f>
        <v>9784152099488</v>
      </c>
      <c r="B541" t="str">
        <f>"4152099488"</f>
        <v>4152099488</v>
      </c>
      <c r="C541" t="s">
        <v>2902</v>
      </c>
      <c r="D541" t="s">
        <v>2080</v>
      </c>
      <c r="E541" t="s">
        <v>963</v>
      </c>
      <c r="G541" t="str">
        <f>"0097"</f>
        <v>0097</v>
      </c>
      <c r="H541" t="s">
        <v>481</v>
      </c>
      <c r="I541" t="s">
        <v>1893</v>
      </c>
      <c r="J541" t="s">
        <v>564</v>
      </c>
      <c r="L541" s="1">
        <v>44000</v>
      </c>
      <c r="M541">
        <v>1700</v>
      </c>
      <c r="N541">
        <v>6</v>
      </c>
      <c r="O541">
        <v>6</v>
      </c>
      <c r="P541">
        <v>6</v>
      </c>
      <c r="Q541">
        <v>6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1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1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0</v>
      </c>
      <c r="HV541">
        <v>0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1</v>
      </c>
      <c r="JD541">
        <v>0</v>
      </c>
      <c r="JE541">
        <v>0</v>
      </c>
      <c r="JF541">
        <v>1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1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1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  <c r="MN541">
        <v>0</v>
      </c>
      <c r="MO541">
        <v>0</v>
      </c>
      <c r="MP541">
        <v>0</v>
      </c>
      <c r="MQ541">
        <v>0</v>
      </c>
      <c r="MR541">
        <v>0</v>
      </c>
      <c r="MS541">
        <v>0</v>
      </c>
      <c r="MT541">
        <v>0</v>
      </c>
      <c r="MU541">
        <v>0</v>
      </c>
      <c r="MV541">
        <v>0</v>
      </c>
      <c r="MW541">
        <v>0</v>
      </c>
      <c r="MX541">
        <v>0</v>
      </c>
      <c r="MY541">
        <v>0</v>
      </c>
      <c r="MZ541">
        <v>0</v>
      </c>
      <c r="NA541">
        <v>0</v>
      </c>
      <c r="NB541">
        <v>0</v>
      </c>
      <c r="NC541">
        <v>0</v>
      </c>
      <c r="ND541">
        <v>0</v>
      </c>
      <c r="NE541">
        <v>0</v>
      </c>
      <c r="NF541">
        <v>0</v>
      </c>
      <c r="NG541">
        <v>0</v>
      </c>
      <c r="NH541">
        <v>0</v>
      </c>
      <c r="NI541">
        <v>0</v>
      </c>
      <c r="NJ541">
        <v>0</v>
      </c>
      <c r="NK541">
        <v>0</v>
      </c>
      <c r="NL541">
        <v>0</v>
      </c>
      <c r="NM541">
        <v>0</v>
      </c>
      <c r="NN541">
        <v>0</v>
      </c>
      <c r="NO541">
        <v>0</v>
      </c>
      <c r="NP541">
        <v>0</v>
      </c>
      <c r="NQ541">
        <v>0</v>
      </c>
      <c r="NR541">
        <v>0</v>
      </c>
      <c r="NS541">
        <v>0</v>
      </c>
      <c r="NT541">
        <v>0</v>
      </c>
      <c r="NU541">
        <v>0</v>
      </c>
      <c r="NV541">
        <v>0</v>
      </c>
      <c r="NW541">
        <v>0</v>
      </c>
      <c r="NX541">
        <v>0</v>
      </c>
      <c r="NY541">
        <v>0</v>
      </c>
      <c r="NZ541">
        <v>0</v>
      </c>
      <c r="OA541">
        <v>0</v>
      </c>
      <c r="OB541">
        <v>0</v>
      </c>
      <c r="OC541">
        <v>0</v>
      </c>
      <c r="OD541">
        <v>0</v>
      </c>
      <c r="OE541">
        <v>0</v>
      </c>
      <c r="OF541">
        <v>0</v>
      </c>
      <c r="OG541">
        <v>0</v>
      </c>
      <c r="OH541">
        <v>0</v>
      </c>
      <c r="OI541">
        <v>0</v>
      </c>
      <c r="OJ541">
        <v>0</v>
      </c>
      <c r="OK541">
        <v>0</v>
      </c>
      <c r="OL541">
        <v>0</v>
      </c>
      <c r="OM541">
        <v>0</v>
      </c>
      <c r="ON541">
        <v>0</v>
      </c>
      <c r="OO541">
        <v>0</v>
      </c>
      <c r="OP541">
        <v>0</v>
      </c>
      <c r="OQ541">
        <v>0</v>
      </c>
      <c r="OR541">
        <v>0</v>
      </c>
      <c r="OS541">
        <v>0</v>
      </c>
      <c r="OT541">
        <v>0</v>
      </c>
      <c r="OU541">
        <v>0</v>
      </c>
      <c r="OV541">
        <v>0</v>
      </c>
      <c r="OW541">
        <v>0</v>
      </c>
      <c r="OX541">
        <v>0</v>
      </c>
      <c r="OY541">
        <v>0</v>
      </c>
      <c r="OZ541">
        <v>0</v>
      </c>
      <c r="PA541">
        <v>0</v>
      </c>
      <c r="PB541">
        <v>0</v>
      </c>
      <c r="PC541">
        <v>0</v>
      </c>
      <c r="PD541">
        <v>0</v>
      </c>
      <c r="PE541">
        <v>0</v>
      </c>
      <c r="PF541">
        <v>0</v>
      </c>
      <c r="PG541">
        <v>0</v>
      </c>
      <c r="PH541">
        <v>0</v>
      </c>
      <c r="PI541">
        <v>0</v>
      </c>
      <c r="PJ541">
        <v>0</v>
      </c>
      <c r="PK541">
        <v>0</v>
      </c>
      <c r="PL541">
        <v>0</v>
      </c>
      <c r="PM541">
        <v>0</v>
      </c>
      <c r="PN541">
        <v>0</v>
      </c>
      <c r="PO541">
        <v>0</v>
      </c>
      <c r="PP541">
        <v>0</v>
      </c>
      <c r="PQ541">
        <v>0</v>
      </c>
      <c r="PR541">
        <v>0</v>
      </c>
      <c r="PS541">
        <v>0</v>
      </c>
      <c r="PT541">
        <v>0</v>
      </c>
      <c r="PU541">
        <v>0</v>
      </c>
      <c r="PV541">
        <v>0</v>
      </c>
      <c r="PW541">
        <v>0</v>
      </c>
      <c r="PX541">
        <v>0</v>
      </c>
      <c r="PY541">
        <v>0</v>
      </c>
      <c r="PZ541">
        <v>0</v>
      </c>
      <c r="QA541">
        <v>0</v>
      </c>
      <c r="QB541">
        <v>0</v>
      </c>
      <c r="QC541">
        <v>0</v>
      </c>
      <c r="QD541">
        <v>0</v>
      </c>
      <c r="QE541">
        <v>0</v>
      </c>
      <c r="QF541">
        <v>0</v>
      </c>
      <c r="QG541">
        <v>0</v>
      </c>
      <c r="QH541">
        <v>0</v>
      </c>
      <c r="QI541">
        <v>0</v>
      </c>
      <c r="QJ541">
        <v>0</v>
      </c>
      <c r="QK541">
        <v>0</v>
      </c>
      <c r="QL541">
        <v>0</v>
      </c>
      <c r="QM541">
        <v>0</v>
      </c>
      <c r="QN541">
        <v>0</v>
      </c>
      <c r="QO541">
        <v>0</v>
      </c>
      <c r="QP541">
        <v>0</v>
      </c>
      <c r="QQ541">
        <v>0</v>
      </c>
      <c r="QR541">
        <v>0</v>
      </c>
      <c r="QS541">
        <v>0</v>
      </c>
      <c r="QT541">
        <v>0</v>
      </c>
      <c r="QU541">
        <v>0</v>
      </c>
      <c r="QV541">
        <v>0</v>
      </c>
      <c r="QW541">
        <v>0</v>
      </c>
      <c r="QX541">
        <v>0</v>
      </c>
      <c r="QY541">
        <v>0</v>
      </c>
    </row>
    <row r="542" spans="1:467" hidden="1" x14ac:dyDescent="0.4">
      <c r="A542" t="str">
        <f>"9784862763129"</f>
        <v>9784862763129</v>
      </c>
      <c r="B542" t="str">
        <f>"486276312X"</f>
        <v>486276312X</v>
      </c>
      <c r="C542" t="s">
        <v>2903</v>
      </c>
      <c r="D542" t="s">
        <v>2904</v>
      </c>
      <c r="E542" t="s">
        <v>2905</v>
      </c>
      <c r="G542" t="str">
        <f>"0097"</f>
        <v>0097</v>
      </c>
      <c r="H542" t="s">
        <v>481</v>
      </c>
      <c r="I542" t="s">
        <v>1893</v>
      </c>
      <c r="J542" t="s">
        <v>564</v>
      </c>
      <c r="L542" s="1">
        <v>44909</v>
      </c>
      <c r="M542">
        <v>2300</v>
      </c>
      <c r="N542">
        <v>6</v>
      </c>
      <c r="O542">
        <v>6</v>
      </c>
      <c r="P542">
        <v>6</v>
      </c>
      <c r="Q542">
        <v>6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1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1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1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0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0</v>
      </c>
      <c r="JF542">
        <v>1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0</v>
      </c>
      <c r="MN542">
        <v>0</v>
      </c>
      <c r="MO542">
        <v>0</v>
      </c>
      <c r="MP542">
        <v>0</v>
      </c>
      <c r="MQ542">
        <v>0</v>
      </c>
      <c r="MR542">
        <v>0</v>
      </c>
      <c r="MS542">
        <v>0</v>
      </c>
      <c r="MT542">
        <v>0</v>
      </c>
      <c r="MU542">
        <v>0</v>
      </c>
      <c r="MV542">
        <v>0</v>
      </c>
      <c r="MW542">
        <v>0</v>
      </c>
      <c r="MX542">
        <v>0</v>
      </c>
      <c r="MY542">
        <v>0</v>
      </c>
      <c r="MZ542">
        <v>0</v>
      </c>
      <c r="NA542">
        <v>0</v>
      </c>
      <c r="NB542">
        <v>0</v>
      </c>
      <c r="NC542">
        <v>0</v>
      </c>
      <c r="ND542">
        <v>0</v>
      </c>
      <c r="NE542">
        <v>0</v>
      </c>
      <c r="NF542">
        <v>0</v>
      </c>
      <c r="NG542">
        <v>0</v>
      </c>
      <c r="NH542">
        <v>0</v>
      </c>
      <c r="NI542">
        <v>0</v>
      </c>
      <c r="NJ542">
        <v>0</v>
      </c>
      <c r="NK542">
        <v>0</v>
      </c>
      <c r="NL542">
        <v>0</v>
      </c>
      <c r="NM542">
        <v>0</v>
      </c>
      <c r="NN542">
        <v>0</v>
      </c>
      <c r="NO542">
        <v>0</v>
      </c>
      <c r="NP542">
        <v>0</v>
      </c>
      <c r="NQ542">
        <v>0</v>
      </c>
      <c r="NR542">
        <v>0</v>
      </c>
      <c r="NS542">
        <v>0</v>
      </c>
      <c r="NT542">
        <v>0</v>
      </c>
      <c r="NU542">
        <v>0</v>
      </c>
      <c r="NV542">
        <v>0</v>
      </c>
      <c r="NW542">
        <v>0</v>
      </c>
      <c r="NX542">
        <v>0</v>
      </c>
      <c r="NY542">
        <v>0</v>
      </c>
      <c r="NZ542">
        <v>0</v>
      </c>
      <c r="OA542">
        <v>0</v>
      </c>
      <c r="OB542">
        <v>0</v>
      </c>
      <c r="OC542">
        <v>0</v>
      </c>
      <c r="OD542">
        <v>0</v>
      </c>
      <c r="OE542">
        <v>0</v>
      </c>
      <c r="OF542">
        <v>0</v>
      </c>
      <c r="OG542">
        <v>0</v>
      </c>
      <c r="OH542">
        <v>0</v>
      </c>
      <c r="OI542">
        <v>0</v>
      </c>
      <c r="OJ542">
        <v>0</v>
      </c>
      <c r="OK542">
        <v>0</v>
      </c>
      <c r="OL542">
        <v>0</v>
      </c>
      <c r="OM542">
        <v>0</v>
      </c>
      <c r="ON542">
        <v>0</v>
      </c>
      <c r="OO542">
        <v>0</v>
      </c>
      <c r="OP542">
        <v>0</v>
      </c>
      <c r="OQ542">
        <v>0</v>
      </c>
      <c r="OR542">
        <v>0</v>
      </c>
      <c r="OS542">
        <v>0</v>
      </c>
      <c r="OT542">
        <v>0</v>
      </c>
      <c r="OU542">
        <v>0</v>
      </c>
      <c r="OV542">
        <v>0</v>
      </c>
      <c r="OW542">
        <v>0</v>
      </c>
      <c r="OX542">
        <v>0</v>
      </c>
      <c r="OY542">
        <v>0</v>
      </c>
      <c r="OZ542">
        <v>0</v>
      </c>
      <c r="PA542">
        <v>0</v>
      </c>
      <c r="PB542">
        <v>0</v>
      </c>
      <c r="PC542">
        <v>0</v>
      </c>
      <c r="PD542">
        <v>0</v>
      </c>
      <c r="PE542">
        <v>0</v>
      </c>
      <c r="PF542">
        <v>0</v>
      </c>
      <c r="PG542">
        <v>0</v>
      </c>
      <c r="PH542">
        <v>0</v>
      </c>
      <c r="PI542">
        <v>0</v>
      </c>
      <c r="PJ542">
        <v>0</v>
      </c>
      <c r="PK542">
        <v>0</v>
      </c>
      <c r="PL542">
        <v>0</v>
      </c>
      <c r="PM542">
        <v>0</v>
      </c>
      <c r="PN542">
        <v>0</v>
      </c>
      <c r="PO542">
        <v>0</v>
      </c>
      <c r="PP542">
        <v>0</v>
      </c>
      <c r="PQ542">
        <v>0</v>
      </c>
      <c r="PR542">
        <v>0</v>
      </c>
      <c r="PS542">
        <v>0</v>
      </c>
      <c r="PT542">
        <v>1</v>
      </c>
      <c r="PU542">
        <v>0</v>
      </c>
      <c r="PV542">
        <v>0</v>
      </c>
      <c r="PW542">
        <v>0</v>
      </c>
      <c r="PX542">
        <v>0</v>
      </c>
      <c r="PY542">
        <v>0</v>
      </c>
      <c r="PZ542">
        <v>0</v>
      </c>
      <c r="QA542">
        <v>0</v>
      </c>
      <c r="QB542">
        <v>0</v>
      </c>
      <c r="QC542">
        <v>0</v>
      </c>
      <c r="QD542">
        <v>0</v>
      </c>
      <c r="QE542">
        <v>0</v>
      </c>
      <c r="QF542">
        <v>0</v>
      </c>
      <c r="QG542">
        <v>0</v>
      </c>
      <c r="QH542">
        <v>0</v>
      </c>
      <c r="QI542">
        <v>0</v>
      </c>
      <c r="QJ542">
        <v>0</v>
      </c>
      <c r="QK542">
        <v>0</v>
      </c>
      <c r="QL542">
        <v>0</v>
      </c>
      <c r="QM542">
        <v>0</v>
      </c>
      <c r="QN542">
        <v>0</v>
      </c>
      <c r="QO542">
        <v>0</v>
      </c>
      <c r="QP542">
        <v>0</v>
      </c>
      <c r="QQ542">
        <v>0</v>
      </c>
      <c r="QR542">
        <v>0</v>
      </c>
      <c r="QS542">
        <v>0</v>
      </c>
      <c r="QT542">
        <v>0</v>
      </c>
      <c r="QU542">
        <v>0</v>
      </c>
      <c r="QV542">
        <v>0</v>
      </c>
      <c r="QW542">
        <v>0</v>
      </c>
      <c r="QX542">
        <v>0</v>
      </c>
      <c r="QY542">
        <v>0</v>
      </c>
    </row>
    <row r="543" spans="1:467" hidden="1" x14ac:dyDescent="0.4">
      <c r="A543" t="str">
        <f>"9784862382504"</f>
        <v>9784862382504</v>
      </c>
      <c r="B543" t="str">
        <f>"4862382509"</f>
        <v>4862382509</v>
      </c>
      <c r="C543" t="s">
        <v>2906</v>
      </c>
      <c r="D543" t="s">
        <v>2907</v>
      </c>
      <c r="E543" t="s">
        <v>2741</v>
      </c>
      <c r="G543" t="str">
        <f>"0095"</f>
        <v>0095</v>
      </c>
      <c r="H543" t="s">
        <v>481</v>
      </c>
      <c r="I543" t="s">
        <v>1893</v>
      </c>
      <c r="J543" t="s">
        <v>509</v>
      </c>
      <c r="L543" s="1">
        <v>44735</v>
      </c>
      <c r="M543">
        <v>2000</v>
      </c>
      <c r="N543">
        <v>6</v>
      </c>
      <c r="O543">
        <v>5</v>
      </c>
      <c r="P543">
        <v>6</v>
      </c>
      <c r="Q543">
        <v>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1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  <c r="MN543">
        <v>0</v>
      </c>
      <c r="MO543">
        <v>0</v>
      </c>
      <c r="MP543">
        <v>0</v>
      </c>
      <c r="MQ543">
        <v>0</v>
      </c>
      <c r="MR543">
        <v>0</v>
      </c>
      <c r="MS543">
        <v>0</v>
      </c>
      <c r="MT543">
        <v>0</v>
      </c>
      <c r="MU543">
        <v>0</v>
      </c>
      <c r="MV543">
        <v>0</v>
      </c>
      <c r="MW543">
        <v>0</v>
      </c>
      <c r="MX543">
        <v>0</v>
      </c>
      <c r="MY543">
        <v>0</v>
      </c>
      <c r="MZ543">
        <v>0</v>
      </c>
      <c r="NA543">
        <v>0</v>
      </c>
      <c r="NB543">
        <v>0</v>
      </c>
      <c r="NC543">
        <v>0</v>
      </c>
      <c r="ND543">
        <v>0</v>
      </c>
      <c r="NE543">
        <v>0</v>
      </c>
      <c r="NF543">
        <v>0</v>
      </c>
      <c r="NG543">
        <v>0</v>
      </c>
      <c r="NH543">
        <v>0</v>
      </c>
      <c r="NI543">
        <v>0</v>
      </c>
      <c r="NJ543">
        <v>0</v>
      </c>
      <c r="NK543">
        <v>0</v>
      </c>
      <c r="NL543">
        <v>0</v>
      </c>
      <c r="NM543">
        <v>0</v>
      </c>
      <c r="NN543">
        <v>0</v>
      </c>
      <c r="NO543">
        <v>0</v>
      </c>
      <c r="NP543">
        <v>0</v>
      </c>
      <c r="NQ543">
        <v>0</v>
      </c>
      <c r="NR543">
        <v>0</v>
      </c>
      <c r="NS543">
        <v>0</v>
      </c>
      <c r="NT543">
        <v>0</v>
      </c>
      <c r="NU543">
        <v>0</v>
      </c>
      <c r="NV543">
        <v>0</v>
      </c>
      <c r="NW543">
        <v>0</v>
      </c>
      <c r="NX543">
        <v>0</v>
      </c>
      <c r="NY543">
        <v>1</v>
      </c>
      <c r="NZ543">
        <v>0</v>
      </c>
      <c r="OA543">
        <v>0</v>
      </c>
      <c r="OB543">
        <v>0</v>
      </c>
      <c r="OC543">
        <v>0</v>
      </c>
      <c r="OD543">
        <v>0</v>
      </c>
      <c r="OE543">
        <v>0</v>
      </c>
      <c r="OF543">
        <v>0</v>
      </c>
      <c r="OG543">
        <v>0</v>
      </c>
      <c r="OH543">
        <v>0</v>
      </c>
      <c r="OI543">
        <v>0</v>
      </c>
      <c r="OJ543">
        <v>0</v>
      </c>
      <c r="OK543">
        <v>2</v>
      </c>
      <c r="OL543">
        <v>0</v>
      </c>
      <c r="OM543">
        <v>0</v>
      </c>
      <c r="ON543">
        <v>0</v>
      </c>
      <c r="OO543">
        <v>0</v>
      </c>
      <c r="OP543">
        <v>0</v>
      </c>
      <c r="OQ543">
        <v>0</v>
      </c>
      <c r="OR543">
        <v>0</v>
      </c>
      <c r="OS543">
        <v>0</v>
      </c>
      <c r="OT543">
        <v>0</v>
      </c>
      <c r="OU543">
        <v>0</v>
      </c>
      <c r="OV543">
        <v>0</v>
      </c>
      <c r="OW543">
        <v>0</v>
      </c>
      <c r="OX543">
        <v>0</v>
      </c>
      <c r="OY543">
        <v>0</v>
      </c>
      <c r="OZ543">
        <v>0</v>
      </c>
      <c r="PA543">
        <v>0</v>
      </c>
      <c r="PB543">
        <v>0</v>
      </c>
      <c r="PC543">
        <v>0</v>
      </c>
      <c r="PD543">
        <v>0</v>
      </c>
      <c r="PE543">
        <v>0</v>
      </c>
      <c r="PF543">
        <v>0</v>
      </c>
      <c r="PG543">
        <v>0</v>
      </c>
      <c r="PH543">
        <v>0</v>
      </c>
      <c r="PI543">
        <v>0</v>
      </c>
      <c r="PJ543">
        <v>0</v>
      </c>
      <c r="PK543">
        <v>0</v>
      </c>
      <c r="PL543">
        <v>0</v>
      </c>
      <c r="PM543">
        <v>0</v>
      </c>
      <c r="PN543">
        <v>0</v>
      </c>
      <c r="PO543">
        <v>0</v>
      </c>
      <c r="PP543">
        <v>0</v>
      </c>
      <c r="PQ543">
        <v>0</v>
      </c>
      <c r="PR543">
        <v>0</v>
      </c>
      <c r="PS543">
        <v>0</v>
      </c>
      <c r="PT543">
        <v>0</v>
      </c>
      <c r="PU543">
        <v>0</v>
      </c>
      <c r="PV543">
        <v>0</v>
      </c>
      <c r="PW543">
        <v>0</v>
      </c>
      <c r="PX543">
        <v>0</v>
      </c>
      <c r="PY543">
        <v>0</v>
      </c>
      <c r="PZ543">
        <v>0</v>
      </c>
      <c r="QA543">
        <v>0</v>
      </c>
      <c r="QB543">
        <v>1</v>
      </c>
      <c r="QC543">
        <v>0</v>
      </c>
      <c r="QD543">
        <v>0</v>
      </c>
      <c r="QE543">
        <v>0</v>
      </c>
      <c r="QF543">
        <v>0</v>
      </c>
      <c r="QG543">
        <v>0</v>
      </c>
      <c r="QH543">
        <v>0</v>
      </c>
      <c r="QI543">
        <v>0</v>
      </c>
      <c r="QJ543">
        <v>0</v>
      </c>
      <c r="QK543">
        <v>0</v>
      </c>
      <c r="QL543">
        <v>0</v>
      </c>
      <c r="QM543">
        <v>0</v>
      </c>
      <c r="QN543">
        <v>0</v>
      </c>
      <c r="QO543">
        <v>0</v>
      </c>
      <c r="QP543">
        <v>0</v>
      </c>
      <c r="QQ543">
        <v>0</v>
      </c>
      <c r="QR543">
        <v>0</v>
      </c>
      <c r="QS543">
        <v>0</v>
      </c>
      <c r="QT543">
        <v>0</v>
      </c>
      <c r="QU543">
        <v>1</v>
      </c>
      <c r="QV543">
        <v>0</v>
      </c>
      <c r="QW543">
        <v>0</v>
      </c>
      <c r="QX543">
        <v>0</v>
      </c>
      <c r="QY543">
        <v>0</v>
      </c>
    </row>
    <row r="544" spans="1:467" hidden="1" x14ac:dyDescent="0.4">
      <c r="A544" t="str">
        <f>"9784344903555"</f>
        <v>9784344903555</v>
      </c>
      <c r="B544" t="str">
        <f>"4344903552"</f>
        <v>4344903552</v>
      </c>
      <c r="C544" t="s">
        <v>2908</v>
      </c>
      <c r="D544" t="s">
        <v>2909</v>
      </c>
      <c r="E544" t="s">
        <v>714</v>
      </c>
      <c r="G544" t="str">
        <f>"2095"</f>
        <v>2095</v>
      </c>
      <c r="H544" t="s">
        <v>1991</v>
      </c>
      <c r="I544" t="s">
        <v>1893</v>
      </c>
      <c r="J544" t="s">
        <v>509</v>
      </c>
      <c r="L544" s="1">
        <v>44887</v>
      </c>
      <c r="M544">
        <v>1400</v>
      </c>
      <c r="N544">
        <v>6</v>
      </c>
      <c r="O544">
        <v>6</v>
      </c>
      <c r="P544">
        <v>6</v>
      </c>
      <c r="Q544">
        <v>6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1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1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1</v>
      </c>
      <c r="HL544">
        <v>0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1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0</v>
      </c>
      <c r="MN544">
        <v>0</v>
      </c>
      <c r="MO544">
        <v>0</v>
      </c>
      <c r="MP544">
        <v>0</v>
      </c>
      <c r="MQ544">
        <v>0</v>
      </c>
      <c r="MR544">
        <v>0</v>
      </c>
      <c r="MS544">
        <v>0</v>
      </c>
      <c r="MT544">
        <v>0</v>
      </c>
      <c r="MU544">
        <v>0</v>
      </c>
      <c r="MV544">
        <v>1</v>
      </c>
      <c r="MW544">
        <v>0</v>
      </c>
      <c r="MX544">
        <v>0</v>
      </c>
      <c r="MY544">
        <v>0</v>
      </c>
      <c r="MZ544">
        <v>0</v>
      </c>
      <c r="NA544">
        <v>0</v>
      </c>
      <c r="NB544">
        <v>0</v>
      </c>
      <c r="NC544">
        <v>0</v>
      </c>
      <c r="ND544">
        <v>0</v>
      </c>
      <c r="NE544">
        <v>0</v>
      </c>
      <c r="NF544">
        <v>0</v>
      </c>
      <c r="NG544">
        <v>0</v>
      </c>
      <c r="NH544">
        <v>0</v>
      </c>
      <c r="NI544">
        <v>0</v>
      </c>
      <c r="NJ544">
        <v>0</v>
      </c>
      <c r="NK544">
        <v>0</v>
      </c>
      <c r="NL544">
        <v>0</v>
      </c>
      <c r="NM544">
        <v>0</v>
      </c>
      <c r="NN544">
        <v>0</v>
      </c>
      <c r="NO544">
        <v>0</v>
      </c>
      <c r="NP544">
        <v>0</v>
      </c>
      <c r="NQ544">
        <v>0</v>
      </c>
      <c r="NR544">
        <v>0</v>
      </c>
      <c r="NS544">
        <v>0</v>
      </c>
      <c r="NT544">
        <v>0</v>
      </c>
      <c r="NU544">
        <v>0</v>
      </c>
      <c r="NV544">
        <v>0</v>
      </c>
      <c r="NW544">
        <v>0</v>
      </c>
      <c r="NX544">
        <v>0</v>
      </c>
      <c r="NY544">
        <v>0</v>
      </c>
      <c r="NZ544">
        <v>0</v>
      </c>
      <c r="OA544">
        <v>0</v>
      </c>
      <c r="OB544">
        <v>0</v>
      </c>
      <c r="OC544">
        <v>0</v>
      </c>
      <c r="OD544">
        <v>0</v>
      </c>
      <c r="OE544">
        <v>0</v>
      </c>
      <c r="OF544">
        <v>0</v>
      </c>
      <c r="OG544">
        <v>0</v>
      </c>
      <c r="OH544">
        <v>0</v>
      </c>
      <c r="OI544">
        <v>0</v>
      </c>
      <c r="OJ544">
        <v>0</v>
      </c>
      <c r="OK544">
        <v>0</v>
      </c>
      <c r="OL544">
        <v>0</v>
      </c>
      <c r="OM544">
        <v>0</v>
      </c>
      <c r="ON544">
        <v>0</v>
      </c>
      <c r="OO544">
        <v>0</v>
      </c>
      <c r="OP544">
        <v>0</v>
      </c>
      <c r="OQ544">
        <v>0</v>
      </c>
      <c r="OR544">
        <v>0</v>
      </c>
      <c r="OS544">
        <v>0</v>
      </c>
      <c r="OT544">
        <v>0</v>
      </c>
      <c r="OU544">
        <v>0</v>
      </c>
      <c r="OV544">
        <v>0</v>
      </c>
      <c r="OW544">
        <v>0</v>
      </c>
      <c r="OX544">
        <v>0</v>
      </c>
      <c r="OY544">
        <v>0</v>
      </c>
      <c r="OZ544">
        <v>0</v>
      </c>
      <c r="PA544">
        <v>0</v>
      </c>
      <c r="PB544">
        <v>0</v>
      </c>
      <c r="PC544">
        <v>0</v>
      </c>
      <c r="PD544">
        <v>0</v>
      </c>
      <c r="PE544">
        <v>0</v>
      </c>
      <c r="PF544">
        <v>0</v>
      </c>
      <c r="PG544">
        <v>0</v>
      </c>
      <c r="PH544">
        <v>0</v>
      </c>
      <c r="PI544">
        <v>0</v>
      </c>
      <c r="PJ544">
        <v>0</v>
      </c>
      <c r="PK544">
        <v>0</v>
      </c>
      <c r="PL544">
        <v>0</v>
      </c>
      <c r="PM544">
        <v>0</v>
      </c>
      <c r="PN544">
        <v>0</v>
      </c>
      <c r="PO544">
        <v>0</v>
      </c>
      <c r="PP544">
        <v>0</v>
      </c>
      <c r="PQ544">
        <v>0</v>
      </c>
      <c r="PR544">
        <v>0</v>
      </c>
      <c r="PS544">
        <v>0</v>
      </c>
      <c r="PT544">
        <v>0</v>
      </c>
      <c r="PU544">
        <v>0</v>
      </c>
      <c r="PV544">
        <v>0</v>
      </c>
      <c r="PW544">
        <v>0</v>
      </c>
      <c r="PX544">
        <v>0</v>
      </c>
      <c r="PY544">
        <v>0</v>
      </c>
      <c r="PZ544">
        <v>0</v>
      </c>
      <c r="QA544">
        <v>0</v>
      </c>
      <c r="QB544">
        <v>0</v>
      </c>
      <c r="QC544">
        <v>0</v>
      </c>
      <c r="QD544">
        <v>0</v>
      </c>
      <c r="QE544">
        <v>0</v>
      </c>
      <c r="QF544">
        <v>0</v>
      </c>
      <c r="QG544">
        <v>0</v>
      </c>
      <c r="QH544">
        <v>0</v>
      </c>
      <c r="QI544">
        <v>0</v>
      </c>
      <c r="QJ544">
        <v>0</v>
      </c>
      <c r="QK544">
        <v>0</v>
      </c>
      <c r="QL544">
        <v>0</v>
      </c>
      <c r="QM544">
        <v>0</v>
      </c>
      <c r="QN544">
        <v>0</v>
      </c>
      <c r="QO544">
        <v>1</v>
      </c>
      <c r="QP544">
        <v>0</v>
      </c>
      <c r="QQ544">
        <v>0</v>
      </c>
      <c r="QR544">
        <v>0</v>
      </c>
      <c r="QS544">
        <v>0</v>
      </c>
      <c r="QT544">
        <v>0</v>
      </c>
      <c r="QU544">
        <v>0</v>
      </c>
      <c r="QV544">
        <v>0</v>
      </c>
      <c r="QW544">
        <v>0</v>
      </c>
      <c r="QX544">
        <v>0</v>
      </c>
      <c r="QY544">
        <v>0</v>
      </c>
    </row>
    <row r="545" spans="1:467" hidden="1" x14ac:dyDescent="0.4">
      <c r="A545" t="str">
        <f>"9784000223140"</f>
        <v>9784000223140</v>
      </c>
      <c r="B545" t="str">
        <f>"4000223143"</f>
        <v>4000223143</v>
      </c>
      <c r="C545" t="s">
        <v>2910</v>
      </c>
      <c r="D545" t="s">
        <v>2911</v>
      </c>
      <c r="E545" t="s">
        <v>521</v>
      </c>
      <c r="G545" t="str">
        <f>"0095"</f>
        <v>0095</v>
      </c>
      <c r="H545" t="s">
        <v>481</v>
      </c>
      <c r="I545" t="s">
        <v>1893</v>
      </c>
      <c r="J545" t="s">
        <v>509</v>
      </c>
      <c r="L545" s="1">
        <v>44914</v>
      </c>
      <c r="M545">
        <v>2700</v>
      </c>
      <c r="N545">
        <v>6</v>
      </c>
      <c r="O545">
        <v>6</v>
      </c>
      <c r="P545">
        <v>6</v>
      </c>
      <c r="Q545">
        <v>6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1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1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0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0</v>
      </c>
      <c r="JP545">
        <v>0</v>
      </c>
      <c r="JQ545">
        <v>1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1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0</v>
      </c>
      <c r="MN545">
        <v>0</v>
      </c>
      <c r="MO545">
        <v>0</v>
      </c>
      <c r="MP545">
        <v>0</v>
      </c>
      <c r="MQ545">
        <v>0</v>
      </c>
      <c r="MR545">
        <v>0</v>
      </c>
      <c r="MS545">
        <v>0</v>
      </c>
      <c r="MT545">
        <v>0</v>
      </c>
      <c r="MU545">
        <v>0</v>
      </c>
      <c r="MV545">
        <v>0</v>
      </c>
      <c r="MW545">
        <v>0</v>
      </c>
      <c r="MX545">
        <v>0</v>
      </c>
      <c r="MY545">
        <v>0</v>
      </c>
      <c r="MZ545">
        <v>0</v>
      </c>
      <c r="NA545">
        <v>0</v>
      </c>
      <c r="NB545">
        <v>0</v>
      </c>
      <c r="NC545">
        <v>0</v>
      </c>
      <c r="ND545">
        <v>0</v>
      </c>
      <c r="NE545">
        <v>0</v>
      </c>
      <c r="NF545">
        <v>0</v>
      </c>
      <c r="NG545">
        <v>0</v>
      </c>
      <c r="NH545">
        <v>0</v>
      </c>
      <c r="NI545">
        <v>0</v>
      </c>
      <c r="NJ545">
        <v>0</v>
      </c>
      <c r="NK545">
        <v>0</v>
      </c>
      <c r="NL545">
        <v>0</v>
      </c>
      <c r="NM545">
        <v>0</v>
      </c>
      <c r="NN545">
        <v>0</v>
      </c>
      <c r="NO545">
        <v>0</v>
      </c>
      <c r="NP545">
        <v>0</v>
      </c>
      <c r="NQ545">
        <v>0</v>
      </c>
      <c r="NR545">
        <v>0</v>
      </c>
      <c r="NS545">
        <v>0</v>
      </c>
      <c r="NT545">
        <v>0</v>
      </c>
      <c r="NU545">
        <v>0</v>
      </c>
      <c r="NV545">
        <v>0</v>
      </c>
      <c r="NW545">
        <v>0</v>
      </c>
      <c r="NX545">
        <v>0</v>
      </c>
      <c r="NY545">
        <v>0</v>
      </c>
      <c r="NZ545">
        <v>0</v>
      </c>
      <c r="OA545">
        <v>0</v>
      </c>
      <c r="OB545">
        <v>0</v>
      </c>
      <c r="OC545">
        <v>0</v>
      </c>
      <c r="OD545">
        <v>0</v>
      </c>
      <c r="OE545">
        <v>0</v>
      </c>
      <c r="OF545">
        <v>0</v>
      </c>
      <c r="OG545">
        <v>0</v>
      </c>
      <c r="OH545">
        <v>0</v>
      </c>
      <c r="OI545">
        <v>0</v>
      </c>
      <c r="OJ545">
        <v>0</v>
      </c>
      <c r="OK545">
        <v>0</v>
      </c>
      <c r="OL545">
        <v>0</v>
      </c>
      <c r="OM545">
        <v>0</v>
      </c>
      <c r="ON545">
        <v>0</v>
      </c>
      <c r="OO545">
        <v>0</v>
      </c>
      <c r="OP545">
        <v>0</v>
      </c>
      <c r="OQ545">
        <v>0</v>
      </c>
      <c r="OR545">
        <v>0</v>
      </c>
      <c r="OS545">
        <v>0</v>
      </c>
      <c r="OT545">
        <v>0</v>
      </c>
      <c r="OU545">
        <v>0</v>
      </c>
      <c r="OV545">
        <v>0</v>
      </c>
      <c r="OW545">
        <v>0</v>
      </c>
      <c r="OX545">
        <v>0</v>
      </c>
      <c r="OY545">
        <v>0</v>
      </c>
      <c r="OZ545">
        <v>0</v>
      </c>
      <c r="PA545">
        <v>0</v>
      </c>
      <c r="PB545">
        <v>0</v>
      </c>
      <c r="PC545">
        <v>0</v>
      </c>
      <c r="PD545">
        <v>0</v>
      </c>
      <c r="PE545">
        <v>0</v>
      </c>
      <c r="PF545">
        <v>0</v>
      </c>
      <c r="PG545">
        <v>0</v>
      </c>
      <c r="PH545">
        <v>0</v>
      </c>
      <c r="PI545">
        <v>0</v>
      </c>
      <c r="PJ545">
        <v>0</v>
      </c>
      <c r="PK545">
        <v>0</v>
      </c>
      <c r="PL545">
        <v>0</v>
      </c>
      <c r="PM545">
        <v>0</v>
      </c>
      <c r="PN545">
        <v>0</v>
      </c>
      <c r="PO545">
        <v>0</v>
      </c>
      <c r="PP545">
        <v>0</v>
      </c>
      <c r="PQ545">
        <v>0</v>
      </c>
      <c r="PR545">
        <v>0</v>
      </c>
      <c r="PS545">
        <v>0</v>
      </c>
      <c r="PT545">
        <v>1</v>
      </c>
      <c r="PU545">
        <v>0</v>
      </c>
      <c r="PV545">
        <v>0</v>
      </c>
      <c r="PW545">
        <v>0</v>
      </c>
      <c r="PX545">
        <v>0</v>
      </c>
      <c r="PY545">
        <v>0</v>
      </c>
      <c r="PZ545">
        <v>0</v>
      </c>
      <c r="QA545">
        <v>0</v>
      </c>
      <c r="QB545">
        <v>0</v>
      </c>
      <c r="QC545">
        <v>0</v>
      </c>
      <c r="QD545">
        <v>0</v>
      </c>
      <c r="QE545">
        <v>0</v>
      </c>
      <c r="QF545">
        <v>0</v>
      </c>
      <c r="QG545">
        <v>0</v>
      </c>
      <c r="QH545">
        <v>0</v>
      </c>
      <c r="QI545">
        <v>0</v>
      </c>
      <c r="QJ545">
        <v>0</v>
      </c>
      <c r="QK545">
        <v>0</v>
      </c>
      <c r="QL545">
        <v>0</v>
      </c>
      <c r="QM545">
        <v>0</v>
      </c>
      <c r="QN545">
        <v>0</v>
      </c>
      <c r="QO545">
        <v>0</v>
      </c>
      <c r="QP545">
        <v>0</v>
      </c>
      <c r="QQ545">
        <v>0</v>
      </c>
      <c r="QR545">
        <v>0</v>
      </c>
      <c r="QS545">
        <v>0</v>
      </c>
      <c r="QT545">
        <v>0</v>
      </c>
      <c r="QU545">
        <v>0</v>
      </c>
      <c r="QV545">
        <v>0</v>
      </c>
      <c r="QW545">
        <v>0</v>
      </c>
      <c r="QX545">
        <v>0</v>
      </c>
      <c r="QY545">
        <v>0</v>
      </c>
    </row>
    <row r="546" spans="1:467" x14ac:dyDescent="0.4">
      <c r="A546" t="str">
        <f>"9784065286579"</f>
        <v>9784065286579</v>
      </c>
      <c r="B546" t="str">
        <f>"4065286573"</f>
        <v>4065286573</v>
      </c>
      <c r="C546" t="s">
        <v>2912</v>
      </c>
      <c r="D546" t="s">
        <v>1861</v>
      </c>
      <c r="E546" t="s">
        <v>548</v>
      </c>
      <c r="F546" t="s">
        <v>1862</v>
      </c>
      <c r="G546" t="str">
        <f>"9979"</f>
        <v>9979</v>
      </c>
      <c r="H546" t="s">
        <v>1855</v>
      </c>
      <c r="I546" t="s">
        <v>1856</v>
      </c>
      <c r="J546" t="s">
        <v>1856</v>
      </c>
      <c r="L546" s="1">
        <v>44789</v>
      </c>
      <c r="M546">
        <v>480</v>
      </c>
      <c r="N546">
        <v>6</v>
      </c>
      <c r="O546">
        <v>6</v>
      </c>
      <c r="P546">
        <v>6</v>
      </c>
      <c r="Q546">
        <v>6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1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1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0</v>
      </c>
      <c r="HS546">
        <v>0</v>
      </c>
      <c r="HT546">
        <v>0</v>
      </c>
      <c r="HU546">
        <v>0</v>
      </c>
      <c r="HV546">
        <v>0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0</v>
      </c>
      <c r="JD546">
        <v>0</v>
      </c>
      <c r="JE546">
        <v>0</v>
      </c>
      <c r="JF546">
        <v>0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0</v>
      </c>
      <c r="JZ546">
        <v>0</v>
      </c>
      <c r="KA546">
        <v>0</v>
      </c>
      <c r="KB546">
        <v>1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1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0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0</v>
      </c>
      <c r="MN546">
        <v>0</v>
      </c>
      <c r="MO546">
        <v>0</v>
      </c>
      <c r="MP546">
        <v>0</v>
      </c>
      <c r="MQ546">
        <v>0</v>
      </c>
      <c r="MR546">
        <v>0</v>
      </c>
      <c r="MS546">
        <v>0</v>
      </c>
      <c r="MT546">
        <v>0</v>
      </c>
      <c r="MU546">
        <v>0</v>
      </c>
      <c r="MV546">
        <v>0</v>
      </c>
      <c r="MW546">
        <v>0</v>
      </c>
      <c r="MX546">
        <v>0</v>
      </c>
      <c r="MY546">
        <v>0</v>
      </c>
      <c r="MZ546">
        <v>0</v>
      </c>
      <c r="NA546">
        <v>0</v>
      </c>
      <c r="NB546">
        <v>0</v>
      </c>
      <c r="NC546">
        <v>0</v>
      </c>
      <c r="ND546">
        <v>0</v>
      </c>
      <c r="NE546">
        <v>1</v>
      </c>
      <c r="NF546">
        <v>0</v>
      </c>
      <c r="NG546">
        <v>0</v>
      </c>
      <c r="NH546">
        <v>0</v>
      </c>
      <c r="NI546">
        <v>0</v>
      </c>
      <c r="NJ546">
        <v>0</v>
      </c>
      <c r="NK546">
        <v>0</v>
      </c>
      <c r="NL546">
        <v>0</v>
      </c>
      <c r="NM546">
        <v>0</v>
      </c>
      <c r="NN546">
        <v>0</v>
      </c>
      <c r="NO546">
        <v>0</v>
      </c>
      <c r="NP546">
        <v>0</v>
      </c>
      <c r="NQ546">
        <v>0</v>
      </c>
      <c r="NR546">
        <v>0</v>
      </c>
      <c r="NS546">
        <v>0</v>
      </c>
      <c r="NT546">
        <v>0</v>
      </c>
      <c r="NU546">
        <v>0</v>
      </c>
      <c r="NV546">
        <v>0</v>
      </c>
      <c r="NW546">
        <v>0</v>
      </c>
      <c r="NX546">
        <v>0</v>
      </c>
      <c r="NY546">
        <v>0</v>
      </c>
      <c r="NZ546">
        <v>0</v>
      </c>
      <c r="OA546">
        <v>0</v>
      </c>
      <c r="OB546">
        <v>0</v>
      </c>
      <c r="OC546">
        <v>0</v>
      </c>
      <c r="OD546">
        <v>0</v>
      </c>
      <c r="OE546">
        <v>0</v>
      </c>
      <c r="OF546">
        <v>0</v>
      </c>
      <c r="OG546">
        <v>0</v>
      </c>
      <c r="OH546">
        <v>0</v>
      </c>
      <c r="OI546">
        <v>0</v>
      </c>
      <c r="OJ546">
        <v>0</v>
      </c>
      <c r="OK546">
        <v>0</v>
      </c>
      <c r="OL546">
        <v>0</v>
      </c>
      <c r="OM546">
        <v>0</v>
      </c>
      <c r="ON546">
        <v>0</v>
      </c>
      <c r="OO546">
        <v>0</v>
      </c>
      <c r="OP546">
        <v>0</v>
      </c>
      <c r="OQ546">
        <v>0</v>
      </c>
      <c r="OR546">
        <v>0</v>
      </c>
      <c r="OS546">
        <v>0</v>
      </c>
      <c r="OT546">
        <v>0</v>
      </c>
      <c r="OU546">
        <v>0</v>
      </c>
      <c r="OV546">
        <v>0</v>
      </c>
      <c r="OW546">
        <v>0</v>
      </c>
      <c r="OX546">
        <v>0</v>
      </c>
      <c r="OY546">
        <v>0</v>
      </c>
      <c r="OZ546">
        <v>0</v>
      </c>
      <c r="PA546">
        <v>0</v>
      </c>
      <c r="PB546">
        <v>0</v>
      </c>
      <c r="PC546">
        <v>0</v>
      </c>
      <c r="PD546">
        <v>0</v>
      </c>
      <c r="PE546">
        <v>0</v>
      </c>
      <c r="PF546">
        <v>0</v>
      </c>
      <c r="PG546">
        <v>0</v>
      </c>
      <c r="PH546">
        <v>0</v>
      </c>
      <c r="PI546">
        <v>0</v>
      </c>
      <c r="PJ546">
        <v>0</v>
      </c>
      <c r="PK546">
        <v>0</v>
      </c>
      <c r="PL546">
        <v>0</v>
      </c>
      <c r="PM546">
        <v>0</v>
      </c>
      <c r="PN546">
        <v>0</v>
      </c>
      <c r="PO546">
        <v>0</v>
      </c>
      <c r="PP546">
        <v>0</v>
      </c>
      <c r="PQ546">
        <v>0</v>
      </c>
      <c r="PR546">
        <v>0</v>
      </c>
      <c r="PS546">
        <v>0</v>
      </c>
      <c r="PT546">
        <v>0</v>
      </c>
      <c r="PU546">
        <v>0</v>
      </c>
      <c r="PV546">
        <v>0</v>
      </c>
      <c r="PW546">
        <v>0</v>
      </c>
      <c r="PX546">
        <v>0</v>
      </c>
      <c r="PY546">
        <v>0</v>
      </c>
      <c r="PZ546">
        <v>0</v>
      </c>
      <c r="QA546">
        <v>0</v>
      </c>
      <c r="QB546">
        <v>0</v>
      </c>
      <c r="QC546">
        <v>0</v>
      </c>
      <c r="QD546">
        <v>0</v>
      </c>
      <c r="QE546">
        <v>0</v>
      </c>
      <c r="QF546">
        <v>0</v>
      </c>
      <c r="QG546">
        <v>0</v>
      </c>
      <c r="QH546">
        <v>0</v>
      </c>
      <c r="QI546">
        <v>0</v>
      </c>
      <c r="QJ546">
        <v>0</v>
      </c>
      <c r="QK546">
        <v>0</v>
      </c>
      <c r="QL546">
        <v>0</v>
      </c>
      <c r="QM546">
        <v>0</v>
      </c>
      <c r="QN546">
        <v>0</v>
      </c>
      <c r="QO546">
        <v>0</v>
      </c>
      <c r="QP546">
        <v>0</v>
      </c>
      <c r="QQ546">
        <v>0</v>
      </c>
      <c r="QR546">
        <v>0</v>
      </c>
      <c r="QS546">
        <v>0</v>
      </c>
      <c r="QT546">
        <v>0</v>
      </c>
      <c r="QU546">
        <v>0</v>
      </c>
      <c r="QV546">
        <v>0</v>
      </c>
      <c r="QW546">
        <v>0</v>
      </c>
      <c r="QX546">
        <v>0</v>
      </c>
      <c r="QY546">
        <v>0</v>
      </c>
    </row>
    <row r="547" spans="1:467" hidden="1" x14ac:dyDescent="0.4">
      <c r="A547" t="str">
        <f>"9784087817263"</f>
        <v>9784087817263</v>
      </c>
      <c r="B547" t="str">
        <f>"4087817261"</f>
        <v>4087817261</v>
      </c>
      <c r="C547" t="s">
        <v>2913</v>
      </c>
      <c r="D547" t="s">
        <v>2914</v>
      </c>
      <c r="E547" t="s">
        <v>536</v>
      </c>
      <c r="G547" t="str">
        <f>"0095"</f>
        <v>0095</v>
      </c>
      <c r="H547" t="s">
        <v>481</v>
      </c>
      <c r="I547" t="s">
        <v>1893</v>
      </c>
      <c r="J547" t="s">
        <v>509</v>
      </c>
      <c r="L547" s="1">
        <v>44826</v>
      </c>
      <c r="M547">
        <v>1900</v>
      </c>
      <c r="N547">
        <v>6</v>
      </c>
      <c r="O547">
        <v>5</v>
      </c>
      <c r="P547">
        <v>6</v>
      </c>
      <c r="Q547">
        <v>5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0</v>
      </c>
      <c r="HU547">
        <v>0</v>
      </c>
      <c r="HV547">
        <v>1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2</v>
      </c>
      <c r="JC547">
        <v>0</v>
      </c>
      <c r="JD547">
        <v>0</v>
      </c>
      <c r="JE547">
        <v>0</v>
      </c>
      <c r="JF547">
        <v>0</v>
      </c>
      <c r="JG547">
        <v>0</v>
      </c>
      <c r="JH547">
        <v>0</v>
      </c>
      <c r="JI547">
        <v>0</v>
      </c>
      <c r="JJ547">
        <v>0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1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0</v>
      </c>
      <c r="MM547">
        <v>0</v>
      </c>
      <c r="MN547">
        <v>0</v>
      </c>
      <c r="MO547">
        <v>0</v>
      </c>
      <c r="MP547">
        <v>0</v>
      </c>
      <c r="MQ547">
        <v>0</v>
      </c>
      <c r="MR547">
        <v>0</v>
      </c>
      <c r="MS547">
        <v>0</v>
      </c>
      <c r="MT547">
        <v>0</v>
      </c>
      <c r="MU547">
        <v>0</v>
      </c>
      <c r="MV547">
        <v>0</v>
      </c>
      <c r="MW547">
        <v>0</v>
      </c>
      <c r="MX547">
        <v>0</v>
      </c>
      <c r="MY547">
        <v>0</v>
      </c>
      <c r="MZ547">
        <v>0</v>
      </c>
      <c r="NA547">
        <v>0</v>
      </c>
      <c r="NB547">
        <v>0</v>
      </c>
      <c r="NC547">
        <v>0</v>
      </c>
      <c r="ND547">
        <v>0</v>
      </c>
      <c r="NE547">
        <v>0</v>
      </c>
      <c r="NF547">
        <v>0</v>
      </c>
      <c r="NG547">
        <v>0</v>
      </c>
      <c r="NH547">
        <v>0</v>
      </c>
      <c r="NI547">
        <v>0</v>
      </c>
      <c r="NJ547">
        <v>0</v>
      </c>
      <c r="NK547">
        <v>0</v>
      </c>
      <c r="NL547">
        <v>0</v>
      </c>
      <c r="NM547">
        <v>0</v>
      </c>
      <c r="NN547">
        <v>1</v>
      </c>
      <c r="NO547">
        <v>0</v>
      </c>
      <c r="NP547">
        <v>0</v>
      </c>
      <c r="NQ547">
        <v>0</v>
      </c>
      <c r="NR547">
        <v>0</v>
      </c>
      <c r="NS547">
        <v>0</v>
      </c>
      <c r="NT547">
        <v>0</v>
      </c>
      <c r="NU547">
        <v>0</v>
      </c>
      <c r="NV547">
        <v>0</v>
      </c>
      <c r="NW547">
        <v>0</v>
      </c>
      <c r="NX547">
        <v>0</v>
      </c>
      <c r="NY547">
        <v>1</v>
      </c>
      <c r="NZ547">
        <v>0</v>
      </c>
      <c r="OA547">
        <v>0</v>
      </c>
      <c r="OB547">
        <v>0</v>
      </c>
      <c r="OC547">
        <v>0</v>
      </c>
      <c r="OD547">
        <v>0</v>
      </c>
      <c r="OE547">
        <v>0</v>
      </c>
      <c r="OF547">
        <v>0</v>
      </c>
      <c r="OG547">
        <v>0</v>
      </c>
      <c r="OH547">
        <v>0</v>
      </c>
      <c r="OI547">
        <v>0</v>
      </c>
      <c r="OJ547">
        <v>0</v>
      </c>
      <c r="OK547">
        <v>0</v>
      </c>
      <c r="OL547">
        <v>0</v>
      </c>
      <c r="OM547">
        <v>0</v>
      </c>
      <c r="ON547">
        <v>0</v>
      </c>
      <c r="OO547">
        <v>0</v>
      </c>
      <c r="OP547">
        <v>0</v>
      </c>
      <c r="OQ547">
        <v>0</v>
      </c>
      <c r="OR547">
        <v>0</v>
      </c>
      <c r="OS547">
        <v>0</v>
      </c>
      <c r="OT547">
        <v>0</v>
      </c>
      <c r="OU547">
        <v>0</v>
      </c>
      <c r="OV547">
        <v>0</v>
      </c>
      <c r="OW547">
        <v>0</v>
      </c>
      <c r="OX547">
        <v>0</v>
      </c>
      <c r="OY547">
        <v>0</v>
      </c>
      <c r="OZ547">
        <v>0</v>
      </c>
      <c r="PA547">
        <v>0</v>
      </c>
      <c r="PB547">
        <v>0</v>
      </c>
      <c r="PC547">
        <v>0</v>
      </c>
      <c r="PD547">
        <v>0</v>
      </c>
      <c r="PE547">
        <v>0</v>
      </c>
      <c r="PF547">
        <v>0</v>
      </c>
      <c r="PG547">
        <v>0</v>
      </c>
      <c r="PH547">
        <v>0</v>
      </c>
      <c r="PI547">
        <v>0</v>
      </c>
      <c r="PJ547">
        <v>0</v>
      </c>
      <c r="PK547">
        <v>0</v>
      </c>
      <c r="PL547">
        <v>0</v>
      </c>
      <c r="PM547">
        <v>0</v>
      </c>
      <c r="PN547">
        <v>0</v>
      </c>
      <c r="PO547">
        <v>0</v>
      </c>
      <c r="PP547">
        <v>0</v>
      </c>
      <c r="PQ547">
        <v>0</v>
      </c>
      <c r="PR547">
        <v>0</v>
      </c>
      <c r="PS547">
        <v>0</v>
      </c>
      <c r="PT547">
        <v>0</v>
      </c>
      <c r="PU547">
        <v>0</v>
      </c>
      <c r="PV547">
        <v>0</v>
      </c>
      <c r="PW547">
        <v>0</v>
      </c>
      <c r="PX547">
        <v>0</v>
      </c>
      <c r="PY547">
        <v>0</v>
      </c>
      <c r="PZ547">
        <v>0</v>
      </c>
      <c r="QA547">
        <v>0</v>
      </c>
      <c r="QB547">
        <v>0</v>
      </c>
      <c r="QC547">
        <v>0</v>
      </c>
      <c r="QD547">
        <v>0</v>
      </c>
      <c r="QE547">
        <v>0</v>
      </c>
      <c r="QF547">
        <v>0</v>
      </c>
      <c r="QG547">
        <v>0</v>
      </c>
      <c r="QH547">
        <v>0</v>
      </c>
      <c r="QI547">
        <v>0</v>
      </c>
      <c r="QJ547">
        <v>0</v>
      </c>
      <c r="QK547">
        <v>0</v>
      </c>
      <c r="QL547">
        <v>0</v>
      </c>
      <c r="QM547">
        <v>0</v>
      </c>
      <c r="QN547">
        <v>0</v>
      </c>
      <c r="QO547">
        <v>0</v>
      </c>
      <c r="QP547">
        <v>0</v>
      </c>
      <c r="QQ547">
        <v>0</v>
      </c>
      <c r="QR547">
        <v>0</v>
      </c>
      <c r="QS547">
        <v>0</v>
      </c>
      <c r="QT547">
        <v>0</v>
      </c>
      <c r="QU547">
        <v>0</v>
      </c>
      <c r="QV547">
        <v>0</v>
      </c>
      <c r="QW547">
        <v>0</v>
      </c>
      <c r="QX547">
        <v>0</v>
      </c>
      <c r="QY547">
        <v>0</v>
      </c>
    </row>
    <row r="548" spans="1:467" x14ac:dyDescent="0.4">
      <c r="A548" t="str">
        <f>"9784065303481"</f>
        <v>9784065303481</v>
      </c>
      <c r="B548" t="str">
        <f>"4065303486"</f>
        <v>4065303486</v>
      </c>
      <c r="C548" t="s">
        <v>2915</v>
      </c>
      <c r="D548" t="s">
        <v>2916</v>
      </c>
      <c r="E548" t="s">
        <v>548</v>
      </c>
      <c r="F548" t="s">
        <v>2099</v>
      </c>
      <c r="G548" t="str">
        <f>"9979"</f>
        <v>9979</v>
      </c>
      <c r="H548" t="s">
        <v>1855</v>
      </c>
      <c r="I548" t="s">
        <v>1856</v>
      </c>
      <c r="J548" t="s">
        <v>1856</v>
      </c>
      <c r="L548" s="1">
        <v>44943</v>
      </c>
      <c r="M548">
        <v>650</v>
      </c>
      <c r="N548">
        <v>6</v>
      </c>
      <c r="O548">
        <v>5</v>
      </c>
      <c r="P548">
        <v>6</v>
      </c>
      <c r="Q548">
        <v>5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2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1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1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1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1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  <c r="MN548">
        <v>0</v>
      </c>
      <c r="MO548">
        <v>0</v>
      </c>
      <c r="MP548">
        <v>0</v>
      </c>
      <c r="MQ548">
        <v>0</v>
      </c>
      <c r="MR548">
        <v>0</v>
      </c>
      <c r="MS548">
        <v>0</v>
      </c>
      <c r="MT548">
        <v>0</v>
      </c>
      <c r="MU548">
        <v>0</v>
      </c>
      <c r="MV548">
        <v>0</v>
      </c>
      <c r="MW548">
        <v>0</v>
      </c>
      <c r="MX548">
        <v>0</v>
      </c>
      <c r="MY548">
        <v>0</v>
      </c>
      <c r="MZ548">
        <v>0</v>
      </c>
      <c r="NA548">
        <v>0</v>
      </c>
      <c r="NB548">
        <v>0</v>
      </c>
      <c r="NC548">
        <v>0</v>
      </c>
      <c r="ND548">
        <v>0</v>
      </c>
      <c r="NE548">
        <v>0</v>
      </c>
      <c r="NF548">
        <v>0</v>
      </c>
      <c r="NG548">
        <v>0</v>
      </c>
      <c r="NH548">
        <v>0</v>
      </c>
      <c r="NI548">
        <v>0</v>
      </c>
      <c r="NJ548">
        <v>0</v>
      </c>
      <c r="NK548">
        <v>0</v>
      </c>
      <c r="NL548">
        <v>0</v>
      </c>
      <c r="NM548">
        <v>0</v>
      </c>
      <c r="NN548">
        <v>0</v>
      </c>
      <c r="NO548">
        <v>0</v>
      </c>
      <c r="NP548">
        <v>0</v>
      </c>
      <c r="NQ548">
        <v>0</v>
      </c>
      <c r="NR548">
        <v>0</v>
      </c>
      <c r="NS548">
        <v>0</v>
      </c>
      <c r="NT548">
        <v>0</v>
      </c>
      <c r="NU548">
        <v>0</v>
      </c>
      <c r="NV548">
        <v>0</v>
      </c>
      <c r="NW548">
        <v>0</v>
      </c>
      <c r="NX548">
        <v>0</v>
      </c>
      <c r="NY548">
        <v>0</v>
      </c>
      <c r="NZ548">
        <v>0</v>
      </c>
      <c r="OA548">
        <v>0</v>
      </c>
      <c r="OB548">
        <v>0</v>
      </c>
      <c r="OC548">
        <v>0</v>
      </c>
      <c r="OD548">
        <v>0</v>
      </c>
      <c r="OE548">
        <v>0</v>
      </c>
      <c r="OF548">
        <v>0</v>
      </c>
      <c r="OG548">
        <v>0</v>
      </c>
      <c r="OH548">
        <v>0</v>
      </c>
      <c r="OI548">
        <v>0</v>
      </c>
      <c r="OJ548">
        <v>0</v>
      </c>
      <c r="OK548">
        <v>0</v>
      </c>
      <c r="OL548">
        <v>0</v>
      </c>
      <c r="OM548">
        <v>0</v>
      </c>
      <c r="ON548">
        <v>0</v>
      </c>
      <c r="OO548">
        <v>0</v>
      </c>
      <c r="OP548">
        <v>0</v>
      </c>
      <c r="OQ548">
        <v>0</v>
      </c>
      <c r="OR548">
        <v>0</v>
      </c>
      <c r="OS548">
        <v>0</v>
      </c>
      <c r="OT548">
        <v>0</v>
      </c>
      <c r="OU548">
        <v>0</v>
      </c>
      <c r="OV548">
        <v>0</v>
      </c>
      <c r="OW548">
        <v>0</v>
      </c>
      <c r="OX548">
        <v>0</v>
      </c>
      <c r="OY548">
        <v>0</v>
      </c>
      <c r="OZ548">
        <v>0</v>
      </c>
      <c r="PA548">
        <v>0</v>
      </c>
      <c r="PB548">
        <v>0</v>
      </c>
      <c r="PC548">
        <v>0</v>
      </c>
      <c r="PD548">
        <v>0</v>
      </c>
      <c r="PE548">
        <v>0</v>
      </c>
      <c r="PF548">
        <v>0</v>
      </c>
      <c r="PG548">
        <v>0</v>
      </c>
      <c r="PH548">
        <v>0</v>
      </c>
      <c r="PI548">
        <v>0</v>
      </c>
      <c r="PJ548">
        <v>0</v>
      </c>
      <c r="PK548">
        <v>0</v>
      </c>
      <c r="PL548">
        <v>0</v>
      </c>
      <c r="PM548">
        <v>0</v>
      </c>
      <c r="PN548">
        <v>0</v>
      </c>
      <c r="PO548">
        <v>0</v>
      </c>
      <c r="PP548">
        <v>0</v>
      </c>
      <c r="PQ548">
        <v>0</v>
      </c>
      <c r="PR548">
        <v>0</v>
      </c>
      <c r="PS548">
        <v>0</v>
      </c>
      <c r="PT548">
        <v>0</v>
      </c>
      <c r="PU548">
        <v>0</v>
      </c>
      <c r="PV548">
        <v>0</v>
      </c>
      <c r="PW548">
        <v>0</v>
      </c>
      <c r="PX548">
        <v>0</v>
      </c>
      <c r="PY548">
        <v>0</v>
      </c>
      <c r="PZ548">
        <v>0</v>
      </c>
      <c r="QA548">
        <v>0</v>
      </c>
      <c r="QB548">
        <v>0</v>
      </c>
      <c r="QC548">
        <v>0</v>
      </c>
      <c r="QD548">
        <v>0</v>
      </c>
      <c r="QE548">
        <v>0</v>
      </c>
      <c r="QF548">
        <v>0</v>
      </c>
      <c r="QG548">
        <v>0</v>
      </c>
      <c r="QH548">
        <v>0</v>
      </c>
      <c r="QI548">
        <v>0</v>
      </c>
      <c r="QJ548">
        <v>0</v>
      </c>
      <c r="QK548">
        <v>0</v>
      </c>
      <c r="QL548">
        <v>0</v>
      </c>
      <c r="QM548">
        <v>0</v>
      </c>
      <c r="QN548">
        <v>0</v>
      </c>
      <c r="QO548">
        <v>0</v>
      </c>
      <c r="QP548">
        <v>0</v>
      </c>
      <c r="QQ548">
        <v>0</v>
      </c>
      <c r="QR548">
        <v>0</v>
      </c>
      <c r="QS548">
        <v>0</v>
      </c>
      <c r="QT548">
        <v>0</v>
      </c>
      <c r="QU548">
        <v>0</v>
      </c>
      <c r="QV548">
        <v>0</v>
      </c>
      <c r="QW548">
        <v>0</v>
      </c>
      <c r="QX548">
        <v>0</v>
      </c>
      <c r="QY548">
        <v>0</v>
      </c>
    </row>
    <row r="549" spans="1:467" hidden="1" x14ac:dyDescent="0.4">
      <c r="A549" t="str">
        <f>"9784087880830"</f>
        <v>9784087880830</v>
      </c>
      <c r="B549" t="str">
        <f>"4087880834"</f>
        <v>4087880834</v>
      </c>
      <c r="C549" t="s">
        <v>2917</v>
      </c>
      <c r="D549" t="s">
        <v>2918</v>
      </c>
      <c r="E549" t="s">
        <v>536</v>
      </c>
      <c r="G549" t="str">
        <f>"0093"</f>
        <v>0093</v>
      </c>
      <c r="H549" t="s">
        <v>481</v>
      </c>
      <c r="I549" t="s">
        <v>1893</v>
      </c>
      <c r="J549" t="s">
        <v>488</v>
      </c>
      <c r="L549" s="1">
        <v>44811</v>
      </c>
      <c r="M549">
        <v>1400</v>
      </c>
      <c r="N549">
        <v>6</v>
      </c>
      <c r="O549">
        <v>6</v>
      </c>
      <c r="P549">
        <v>6</v>
      </c>
      <c r="Q549">
        <v>6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1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1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1</v>
      </c>
      <c r="IW549">
        <v>0</v>
      </c>
      <c r="IX549">
        <v>0</v>
      </c>
      <c r="IY549">
        <v>0</v>
      </c>
      <c r="IZ549">
        <v>0</v>
      </c>
      <c r="JA549">
        <v>1</v>
      </c>
      <c r="JB549">
        <v>0</v>
      </c>
      <c r="JC549">
        <v>1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0</v>
      </c>
      <c r="ML549">
        <v>0</v>
      </c>
      <c r="MM549">
        <v>0</v>
      </c>
      <c r="MN549">
        <v>0</v>
      </c>
      <c r="MO549">
        <v>0</v>
      </c>
      <c r="MP549">
        <v>0</v>
      </c>
      <c r="MQ549">
        <v>0</v>
      </c>
      <c r="MR549">
        <v>0</v>
      </c>
      <c r="MS549">
        <v>0</v>
      </c>
      <c r="MT549">
        <v>0</v>
      </c>
      <c r="MU549">
        <v>0</v>
      </c>
      <c r="MV549">
        <v>1</v>
      </c>
      <c r="MW549">
        <v>0</v>
      </c>
      <c r="MX549">
        <v>0</v>
      </c>
      <c r="MY549">
        <v>0</v>
      </c>
      <c r="MZ549">
        <v>0</v>
      </c>
      <c r="NA549">
        <v>0</v>
      </c>
      <c r="NB549">
        <v>0</v>
      </c>
      <c r="NC549">
        <v>0</v>
      </c>
      <c r="ND549">
        <v>0</v>
      </c>
      <c r="NE549">
        <v>0</v>
      </c>
      <c r="NF549">
        <v>0</v>
      </c>
      <c r="NG549">
        <v>0</v>
      </c>
      <c r="NH549">
        <v>0</v>
      </c>
      <c r="NI549">
        <v>0</v>
      </c>
      <c r="NJ549">
        <v>0</v>
      </c>
      <c r="NK549">
        <v>0</v>
      </c>
      <c r="NL549">
        <v>0</v>
      </c>
      <c r="NM549">
        <v>0</v>
      </c>
      <c r="NN549">
        <v>0</v>
      </c>
      <c r="NO549">
        <v>0</v>
      </c>
      <c r="NP549">
        <v>0</v>
      </c>
      <c r="NQ549">
        <v>0</v>
      </c>
      <c r="NR549">
        <v>0</v>
      </c>
      <c r="NS549">
        <v>0</v>
      </c>
      <c r="NT549">
        <v>0</v>
      </c>
      <c r="NU549">
        <v>0</v>
      </c>
      <c r="NV549">
        <v>0</v>
      </c>
      <c r="NW549">
        <v>0</v>
      </c>
      <c r="NX549">
        <v>0</v>
      </c>
      <c r="NY549">
        <v>0</v>
      </c>
      <c r="NZ549">
        <v>0</v>
      </c>
      <c r="OA549">
        <v>0</v>
      </c>
      <c r="OB549">
        <v>0</v>
      </c>
      <c r="OC549">
        <v>0</v>
      </c>
      <c r="OD549">
        <v>0</v>
      </c>
      <c r="OE549">
        <v>0</v>
      </c>
      <c r="OF549">
        <v>0</v>
      </c>
      <c r="OG549">
        <v>0</v>
      </c>
      <c r="OH549">
        <v>0</v>
      </c>
      <c r="OI549">
        <v>0</v>
      </c>
      <c r="OJ549">
        <v>0</v>
      </c>
      <c r="OK549">
        <v>0</v>
      </c>
      <c r="OL549">
        <v>0</v>
      </c>
      <c r="OM549">
        <v>0</v>
      </c>
      <c r="ON549">
        <v>0</v>
      </c>
      <c r="OO549">
        <v>0</v>
      </c>
      <c r="OP549">
        <v>0</v>
      </c>
      <c r="OQ549">
        <v>0</v>
      </c>
      <c r="OR549">
        <v>0</v>
      </c>
      <c r="OS549">
        <v>0</v>
      </c>
      <c r="OT549">
        <v>0</v>
      </c>
      <c r="OU549">
        <v>0</v>
      </c>
      <c r="OV549">
        <v>0</v>
      </c>
      <c r="OW549">
        <v>0</v>
      </c>
      <c r="OX549">
        <v>0</v>
      </c>
      <c r="OY549">
        <v>0</v>
      </c>
      <c r="OZ549">
        <v>0</v>
      </c>
      <c r="PA549">
        <v>0</v>
      </c>
      <c r="PB549">
        <v>0</v>
      </c>
      <c r="PC549">
        <v>0</v>
      </c>
      <c r="PD549">
        <v>0</v>
      </c>
      <c r="PE549">
        <v>0</v>
      </c>
      <c r="PF549">
        <v>0</v>
      </c>
      <c r="PG549">
        <v>0</v>
      </c>
      <c r="PH549">
        <v>0</v>
      </c>
      <c r="PI549">
        <v>0</v>
      </c>
      <c r="PJ549">
        <v>0</v>
      </c>
      <c r="PK549">
        <v>0</v>
      </c>
      <c r="PL549">
        <v>0</v>
      </c>
      <c r="PM549">
        <v>0</v>
      </c>
      <c r="PN549">
        <v>0</v>
      </c>
      <c r="PO549">
        <v>0</v>
      </c>
      <c r="PP549">
        <v>0</v>
      </c>
      <c r="PQ549">
        <v>0</v>
      </c>
      <c r="PR549">
        <v>0</v>
      </c>
      <c r="PS549">
        <v>0</v>
      </c>
      <c r="PT549">
        <v>0</v>
      </c>
      <c r="PU549">
        <v>0</v>
      </c>
      <c r="PV549">
        <v>0</v>
      </c>
      <c r="PW549">
        <v>0</v>
      </c>
      <c r="PX549">
        <v>0</v>
      </c>
      <c r="PY549">
        <v>0</v>
      </c>
      <c r="PZ549">
        <v>0</v>
      </c>
      <c r="QA549">
        <v>0</v>
      </c>
      <c r="QB549">
        <v>0</v>
      </c>
      <c r="QC549">
        <v>0</v>
      </c>
      <c r="QD549">
        <v>0</v>
      </c>
      <c r="QE549">
        <v>0</v>
      </c>
      <c r="QF549">
        <v>0</v>
      </c>
      <c r="QG549">
        <v>0</v>
      </c>
      <c r="QH549">
        <v>0</v>
      </c>
      <c r="QI549">
        <v>0</v>
      </c>
      <c r="QJ549">
        <v>0</v>
      </c>
      <c r="QK549">
        <v>0</v>
      </c>
      <c r="QL549">
        <v>0</v>
      </c>
      <c r="QM549">
        <v>0</v>
      </c>
      <c r="QN549">
        <v>0</v>
      </c>
      <c r="QO549">
        <v>0</v>
      </c>
      <c r="QP549">
        <v>0</v>
      </c>
      <c r="QQ549">
        <v>0</v>
      </c>
      <c r="QR549">
        <v>0</v>
      </c>
      <c r="QS549">
        <v>0</v>
      </c>
      <c r="QT549">
        <v>0</v>
      </c>
      <c r="QU549">
        <v>0</v>
      </c>
      <c r="QV549">
        <v>0</v>
      </c>
      <c r="QW549">
        <v>0</v>
      </c>
      <c r="QX549">
        <v>0</v>
      </c>
      <c r="QY549">
        <v>0</v>
      </c>
    </row>
    <row r="550" spans="1:467" hidden="1" x14ac:dyDescent="0.4">
      <c r="A550" t="str">
        <f>"9784808712365"</f>
        <v>9784808712365</v>
      </c>
      <c r="B550" t="str">
        <f>"4808712369"</f>
        <v>4808712369</v>
      </c>
      <c r="C550" t="s">
        <v>2919</v>
      </c>
      <c r="D550" t="s">
        <v>2920</v>
      </c>
      <c r="E550" t="s">
        <v>2921</v>
      </c>
      <c r="G550" t="str">
        <f>"0071"</f>
        <v>0071</v>
      </c>
      <c r="H550" t="s">
        <v>481</v>
      </c>
      <c r="I550" t="s">
        <v>1893</v>
      </c>
      <c r="J550" t="s">
        <v>1437</v>
      </c>
      <c r="L550" s="1">
        <v>44893</v>
      </c>
      <c r="M550">
        <v>2300</v>
      </c>
      <c r="N550">
        <v>6</v>
      </c>
      <c r="O550">
        <v>5</v>
      </c>
      <c r="P550">
        <v>6</v>
      </c>
      <c r="Q550">
        <v>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1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1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2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0</v>
      </c>
      <c r="MP550">
        <v>0</v>
      </c>
      <c r="MQ550">
        <v>0</v>
      </c>
      <c r="MR550">
        <v>0</v>
      </c>
      <c r="MS550">
        <v>0</v>
      </c>
      <c r="MT550">
        <v>0</v>
      </c>
      <c r="MU550">
        <v>0</v>
      </c>
      <c r="MV550">
        <v>1</v>
      </c>
      <c r="MW550">
        <v>0</v>
      </c>
      <c r="MX550">
        <v>0</v>
      </c>
      <c r="MY550">
        <v>0</v>
      </c>
      <c r="MZ550">
        <v>0</v>
      </c>
      <c r="NA550">
        <v>0</v>
      </c>
      <c r="NB550">
        <v>0</v>
      </c>
      <c r="NC550">
        <v>0</v>
      </c>
      <c r="ND550">
        <v>0</v>
      </c>
      <c r="NE550">
        <v>0</v>
      </c>
      <c r="NF550">
        <v>0</v>
      </c>
      <c r="NG550">
        <v>0</v>
      </c>
      <c r="NH550">
        <v>0</v>
      </c>
      <c r="NI550">
        <v>0</v>
      </c>
      <c r="NJ550">
        <v>0</v>
      </c>
      <c r="NK550">
        <v>0</v>
      </c>
      <c r="NL550">
        <v>0</v>
      </c>
      <c r="NM550">
        <v>0</v>
      </c>
      <c r="NN550">
        <v>1</v>
      </c>
      <c r="NO550">
        <v>0</v>
      </c>
      <c r="NP550">
        <v>0</v>
      </c>
      <c r="NQ550">
        <v>0</v>
      </c>
      <c r="NR550">
        <v>0</v>
      </c>
      <c r="NS550">
        <v>0</v>
      </c>
      <c r="NT550">
        <v>0</v>
      </c>
      <c r="NU550">
        <v>0</v>
      </c>
      <c r="NV550">
        <v>0</v>
      </c>
      <c r="NW550">
        <v>0</v>
      </c>
      <c r="NX550">
        <v>0</v>
      </c>
      <c r="NY550">
        <v>0</v>
      </c>
      <c r="NZ550">
        <v>0</v>
      </c>
      <c r="OA550">
        <v>0</v>
      </c>
      <c r="OB550">
        <v>0</v>
      </c>
      <c r="OC550">
        <v>0</v>
      </c>
      <c r="OD550">
        <v>0</v>
      </c>
      <c r="OE550">
        <v>0</v>
      </c>
      <c r="OF550">
        <v>0</v>
      </c>
      <c r="OG550">
        <v>0</v>
      </c>
      <c r="OH550">
        <v>0</v>
      </c>
      <c r="OI550">
        <v>0</v>
      </c>
      <c r="OJ550">
        <v>0</v>
      </c>
      <c r="OK550">
        <v>0</v>
      </c>
      <c r="OL550">
        <v>0</v>
      </c>
      <c r="OM550">
        <v>0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</v>
      </c>
      <c r="OU550">
        <v>0</v>
      </c>
      <c r="OV550">
        <v>0</v>
      </c>
      <c r="OW550">
        <v>0</v>
      </c>
      <c r="OX550">
        <v>0</v>
      </c>
      <c r="OY550">
        <v>0</v>
      </c>
      <c r="OZ550">
        <v>0</v>
      </c>
      <c r="PA550">
        <v>0</v>
      </c>
      <c r="PB550">
        <v>0</v>
      </c>
      <c r="PC550">
        <v>0</v>
      </c>
      <c r="PD550">
        <v>0</v>
      </c>
      <c r="PE550">
        <v>0</v>
      </c>
      <c r="PF550">
        <v>0</v>
      </c>
      <c r="PG550">
        <v>0</v>
      </c>
      <c r="PH550">
        <v>0</v>
      </c>
      <c r="PI550">
        <v>0</v>
      </c>
      <c r="PJ550">
        <v>0</v>
      </c>
      <c r="PK550">
        <v>0</v>
      </c>
      <c r="PL550">
        <v>0</v>
      </c>
      <c r="PM550">
        <v>0</v>
      </c>
      <c r="PN550">
        <v>0</v>
      </c>
      <c r="PO550">
        <v>0</v>
      </c>
      <c r="PP550">
        <v>0</v>
      </c>
      <c r="PQ550">
        <v>0</v>
      </c>
      <c r="PR550">
        <v>0</v>
      </c>
      <c r="PS550">
        <v>0</v>
      </c>
      <c r="PT550">
        <v>0</v>
      </c>
      <c r="PU550">
        <v>0</v>
      </c>
      <c r="PV550">
        <v>0</v>
      </c>
      <c r="PW550">
        <v>0</v>
      </c>
      <c r="PX550">
        <v>0</v>
      </c>
      <c r="PY550">
        <v>0</v>
      </c>
      <c r="PZ550">
        <v>0</v>
      </c>
      <c r="QA550">
        <v>0</v>
      </c>
      <c r="QB550">
        <v>0</v>
      </c>
      <c r="QC550">
        <v>0</v>
      </c>
      <c r="QD550">
        <v>0</v>
      </c>
      <c r="QE550">
        <v>0</v>
      </c>
      <c r="QF550">
        <v>0</v>
      </c>
      <c r="QG550">
        <v>0</v>
      </c>
      <c r="QH550">
        <v>0</v>
      </c>
      <c r="QI550">
        <v>0</v>
      </c>
      <c r="QJ550">
        <v>0</v>
      </c>
      <c r="QK550">
        <v>0</v>
      </c>
      <c r="QL550">
        <v>0</v>
      </c>
      <c r="QM550">
        <v>0</v>
      </c>
      <c r="QN550">
        <v>0</v>
      </c>
      <c r="QO550">
        <v>0</v>
      </c>
      <c r="QP550">
        <v>0</v>
      </c>
      <c r="QQ550">
        <v>0</v>
      </c>
      <c r="QR550">
        <v>0</v>
      </c>
      <c r="QS550">
        <v>0</v>
      </c>
      <c r="QT550">
        <v>0</v>
      </c>
      <c r="QU550">
        <v>0</v>
      </c>
      <c r="QV550">
        <v>0</v>
      </c>
      <c r="QW550">
        <v>0</v>
      </c>
      <c r="QX550">
        <v>0</v>
      </c>
      <c r="QY550">
        <v>0</v>
      </c>
    </row>
    <row r="551" spans="1:467" hidden="1" x14ac:dyDescent="0.4">
      <c r="A551" t="str">
        <f>"9784864109352"</f>
        <v>9784864109352</v>
      </c>
      <c r="B551" t="str">
        <f>"4864109354"</f>
        <v>4864109354</v>
      </c>
      <c r="C551" t="s">
        <v>2922</v>
      </c>
      <c r="D551" t="s">
        <v>2923</v>
      </c>
      <c r="E551" t="s">
        <v>2404</v>
      </c>
      <c r="G551" t="str">
        <f>"0095"</f>
        <v>0095</v>
      </c>
      <c r="H551" t="s">
        <v>481</v>
      </c>
      <c r="I551" t="s">
        <v>1893</v>
      </c>
      <c r="J551" t="s">
        <v>509</v>
      </c>
      <c r="L551" s="1">
        <v>44910</v>
      </c>
      <c r="M551">
        <v>1400</v>
      </c>
      <c r="N551">
        <v>6</v>
      </c>
      <c r="O551">
        <v>6</v>
      </c>
      <c r="P551">
        <v>6</v>
      </c>
      <c r="Q551">
        <v>6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1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1</v>
      </c>
      <c r="JG551">
        <v>0</v>
      </c>
      <c r="JH551">
        <v>0</v>
      </c>
      <c r="JI551">
        <v>1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1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  <c r="MN551">
        <v>0</v>
      </c>
      <c r="MO551">
        <v>0</v>
      </c>
      <c r="MP551">
        <v>0</v>
      </c>
      <c r="MQ551">
        <v>0</v>
      </c>
      <c r="MR551">
        <v>0</v>
      </c>
      <c r="MS551">
        <v>0</v>
      </c>
      <c r="MT551">
        <v>0</v>
      </c>
      <c r="MU551">
        <v>0</v>
      </c>
      <c r="MV551">
        <v>1</v>
      </c>
      <c r="MW551">
        <v>0</v>
      </c>
      <c r="MX551">
        <v>0</v>
      </c>
      <c r="MY551">
        <v>0</v>
      </c>
      <c r="MZ551">
        <v>0</v>
      </c>
      <c r="NA551">
        <v>0</v>
      </c>
      <c r="NB551">
        <v>0</v>
      </c>
      <c r="NC551">
        <v>0</v>
      </c>
      <c r="ND551">
        <v>0</v>
      </c>
      <c r="NE551">
        <v>0</v>
      </c>
      <c r="NF551">
        <v>0</v>
      </c>
      <c r="NG551">
        <v>0</v>
      </c>
      <c r="NH551">
        <v>0</v>
      </c>
      <c r="NI551">
        <v>0</v>
      </c>
      <c r="NJ551">
        <v>0</v>
      </c>
      <c r="NK551">
        <v>0</v>
      </c>
      <c r="NL551">
        <v>0</v>
      </c>
      <c r="NM551">
        <v>0</v>
      </c>
      <c r="NN551">
        <v>0</v>
      </c>
      <c r="NO551">
        <v>0</v>
      </c>
      <c r="NP551">
        <v>0</v>
      </c>
      <c r="NQ551">
        <v>0</v>
      </c>
      <c r="NR551">
        <v>0</v>
      </c>
      <c r="NS551">
        <v>0</v>
      </c>
      <c r="NT551">
        <v>0</v>
      </c>
      <c r="NU551">
        <v>0</v>
      </c>
      <c r="NV551">
        <v>0</v>
      </c>
      <c r="NW551">
        <v>0</v>
      </c>
      <c r="NX551">
        <v>0</v>
      </c>
      <c r="NY551">
        <v>0</v>
      </c>
      <c r="NZ551">
        <v>0</v>
      </c>
      <c r="OA551">
        <v>0</v>
      </c>
      <c r="OB551">
        <v>0</v>
      </c>
      <c r="OC551">
        <v>0</v>
      </c>
      <c r="OD551">
        <v>0</v>
      </c>
      <c r="OE551">
        <v>0</v>
      </c>
      <c r="OF551">
        <v>0</v>
      </c>
      <c r="OG551">
        <v>0</v>
      </c>
      <c r="OH551">
        <v>0</v>
      </c>
      <c r="OI551">
        <v>0</v>
      </c>
      <c r="OJ551">
        <v>0</v>
      </c>
      <c r="OK551">
        <v>0</v>
      </c>
      <c r="OL551">
        <v>0</v>
      </c>
      <c r="OM551">
        <v>0</v>
      </c>
      <c r="ON551">
        <v>0</v>
      </c>
      <c r="OO551">
        <v>0</v>
      </c>
      <c r="OP551">
        <v>0</v>
      </c>
      <c r="OQ551">
        <v>0</v>
      </c>
      <c r="OR551">
        <v>0</v>
      </c>
      <c r="OS551">
        <v>1</v>
      </c>
      <c r="OT551">
        <v>0</v>
      </c>
      <c r="OU551">
        <v>0</v>
      </c>
      <c r="OV551">
        <v>0</v>
      </c>
      <c r="OW551">
        <v>0</v>
      </c>
      <c r="OX551">
        <v>0</v>
      </c>
      <c r="OY551">
        <v>0</v>
      </c>
      <c r="OZ551">
        <v>0</v>
      </c>
      <c r="PA551">
        <v>0</v>
      </c>
      <c r="PB551">
        <v>0</v>
      </c>
      <c r="PC551">
        <v>0</v>
      </c>
      <c r="PD551">
        <v>0</v>
      </c>
      <c r="PE551">
        <v>0</v>
      </c>
      <c r="PF551">
        <v>0</v>
      </c>
      <c r="PG551">
        <v>0</v>
      </c>
      <c r="PH551">
        <v>0</v>
      </c>
      <c r="PI551">
        <v>0</v>
      </c>
      <c r="PJ551">
        <v>0</v>
      </c>
      <c r="PK551">
        <v>0</v>
      </c>
      <c r="PL551">
        <v>0</v>
      </c>
      <c r="PM551">
        <v>0</v>
      </c>
      <c r="PN551">
        <v>0</v>
      </c>
      <c r="PO551">
        <v>0</v>
      </c>
      <c r="PP551">
        <v>0</v>
      </c>
      <c r="PQ551">
        <v>0</v>
      </c>
      <c r="PR551">
        <v>0</v>
      </c>
      <c r="PS551">
        <v>0</v>
      </c>
      <c r="PT551">
        <v>0</v>
      </c>
      <c r="PU551">
        <v>0</v>
      </c>
      <c r="PV551">
        <v>0</v>
      </c>
      <c r="PW551">
        <v>0</v>
      </c>
      <c r="PX551">
        <v>0</v>
      </c>
      <c r="PY551">
        <v>0</v>
      </c>
      <c r="PZ551">
        <v>0</v>
      </c>
      <c r="QA551">
        <v>0</v>
      </c>
      <c r="QB551">
        <v>0</v>
      </c>
      <c r="QC551">
        <v>0</v>
      </c>
      <c r="QD551">
        <v>0</v>
      </c>
      <c r="QE551">
        <v>0</v>
      </c>
      <c r="QF551">
        <v>0</v>
      </c>
      <c r="QG551">
        <v>0</v>
      </c>
      <c r="QH551">
        <v>0</v>
      </c>
      <c r="QI551">
        <v>0</v>
      </c>
      <c r="QJ551">
        <v>0</v>
      </c>
      <c r="QK551">
        <v>0</v>
      </c>
      <c r="QL551">
        <v>0</v>
      </c>
      <c r="QM551">
        <v>0</v>
      </c>
      <c r="QN551">
        <v>0</v>
      </c>
      <c r="QO551">
        <v>0</v>
      </c>
      <c r="QP551">
        <v>0</v>
      </c>
      <c r="QQ551">
        <v>0</v>
      </c>
      <c r="QR551">
        <v>0</v>
      </c>
      <c r="QS551">
        <v>0</v>
      </c>
      <c r="QT551">
        <v>0</v>
      </c>
      <c r="QU551">
        <v>0</v>
      </c>
      <c r="QV551">
        <v>0</v>
      </c>
      <c r="QW551">
        <v>0</v>
      </c>
      <c r="QX551">
        <v>0</v>
      </c>
      <c r="QY551">
        <v>0</v>
      </c>
    </row>
    <row r="552" spans="1:467" x14ac:dyDescent="0.4">
      <c r="A552" t="str">
        <f>"9784088817569"</f>
        <v>9784088817569</v>
      </c>
      <c r="B552" t="str">
        <f>"4088817567"</f>
        <v>4088817567</v>
      </c>
      <c r="C552" t="s">
        <v>2924</v>
      </c>
      <c r="D552" t="s">
        <v>1869</v>
      </c>
      <c r="E552" t="s">
        <v>536</v>
      </c>
      <c r="F552" t="s">
        <v>1854</v>
      </c>
      <c r="G552" t="str">
        <f>"9979"</f>
        <v>9979</v>
      </c>
      <c r="H552" t="s">
        <v>1855</v>
      </c>
      <c r="I552" t="s">
        <v>1856</v>
      </c>
      <c r="J552" t="s">
        <v>1856</v>
      </c>
      <c r="L552" s="1">
        <v>43528</v>
      </c>
      <c r="M552">
        <v>440</v>
      </c>
      <c r="N552">
        <v>6</v>
      </c>
      <c r="O552">
        <v>5</v>
      </c>
      <c r="P552">
        <v>6</v>
      </c>
      <c r="Q552">
        <v>5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1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1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0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2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1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  <c r="MN552">
        <v>0</v>
      </c>
      <c r="MO552">
        <v>0</v>
      </c>
      <c r="MP552">
        <v>0</v>
      </c>
      <c r="MQ552">
        <v>0</v>
      </c>
      <c r="MR552">
        <v>0</v>
      </c>
      <c r="MS552">
        <v>0</v>
      </c>
      <c r="MT552">
        <v>0</v>
      </c>
      <c r="MU552">
        <v>0</v>
      </c>
      <c r="MV552">
        <v>0</v>
      </c>
      <c r="MW552">
        <v>0</v>
      </c>
      <c r="MX552">
        <v>0</v>
      </c>
      <c r="MY552">
        <v>0</v>
      </c>
      <c r="MZ552">
        <v>1</v>
      </c>
      <c r="NA552">
        <v>0</v>
      </c>
      <c r="NB552">
        <v>0</v>
      </c>
      <c r="NC552">
        <v>0</v>
      </c>
      <c r="ND552">
        <v>0</v>
      </c>
      <c r="NE552">
        <v>0</v>
      </c>
      <c r="NF552">
        <v>0</v>
      </c>
      <c r="NG552">
        <v>0</v>
      </c>
      <c r="NH552">
        <v>0</v>
      </c>
      <c r="NI552">
        <v>0</v>
      </c>
      <c r="NJ552">
        <v>0</v>
      </c>
      <c r="NK552">
        <v>0</v>
      </c>
      <c r="NL552">
        <v>0</v>
      </c>
      <c r="NM552">
        <v>0</v>
      </c>
      <c r="NN552">
        <v>0</v>
      </c>
      <c r="NO552">
        <v>0</v>
      </c>
      <c r="NP552">
        <v>0</v>
      </c>
      <c r="NQ552">
        <v>0</v>
      </c>
      <c r="NR552">
        <v>0</v>
      </c>
      <c r="NS552">
        <v>0</v>
      </c>
      <c r="NT552">
        <v>0</v>
      </c>
      <c r="NU552">
        <v>0</v>
      </c>
      <c r="NV552">
        <v>0</v>
      </c>
      <c r="NW552">
        <v>0</v>
      </c>
      <c r="NX552">
        <v>0</v>
      </c>
      <c r="NY552">
        <v>0</v>
      </c>
      <c r="NZ552">
        <v>0</v>
      </c>
      <c r="OA552">
        <v>0</v>
      </c>
      <c r="OB552">
        <v>0</v>
      </c>
      <c r="OC552">
        <v>0</v>
      </c>
      <c r="OD552">
        <v>0</v>
      </c>
      <c r="OE552">
        <v>0</v>
      </c>
      <c r="OF552">
        <v>0</v>
      </c>
      <c r="OG552">
        <v>0</v>
      </c>
      <c r="OH552">
        <v>0</v>
      </c>
      <c r="OI552">
        <v>0</v>
      </c>
      <c r="OJ552">
        <v>0</v>
      </c>
      <c r="OK552">
        <v>0</v>
      </c>
      <c r="OL552">
        <v>0</v>
      </c>
      <c r="OM552">
        <v>0</v>
      </c>
      <c r="ON552">
        <v>0</v>
      </c>
      <c r="OO552">
        <v>0</v>
      </c>
      <c r="OP552">
        <v>0</v>
      </c>
      <c r="OQ552">
        <v>0</v>
      </c>
      <c r="OR552">
        <v>0</v>
      </c>
      <c r="OS552">
        <v>0</v>
      </c>
      <c r="OT552">
        <v>0</v>
      </c>
      <c r="OU552">
        <v>0</v>
      </c>
      <c r="OV552">
        <v>0</v>
      </c>
      <c r="OW552">
        <v>0</v>
      </c>
      <c r="OX552">
        <v>0</v>
      </c>
      <c r="OY552">
        <v>0</v>
      </c>
      <c r="OZ552">
        <v>0</v>
      </c>
      <c r="PA552">
        <v>0</v>
      </c>
      <c r="PB552">
        <v>0</v>
      </c>
      <c r="PC552">
        <v>0</v>
      </c>
      <c r="PD552">
        <v>0</v>
      </c>
      <c r="PE552">
        <v>0</v>
      </c>
      <c r="PF552">
        <v>0</v>
      </c>
      <c r="PG552">
        <v>0</v>
      </c>
      <c r="PH552">
        <v>0</v>
      </c>
      <c r="PI552">
        <v>0</v>
      </c>
      <c r="PJ552">
        <v>0</v>
      </c>
      <c r="PK552">
        <v>0</v>
      </c>
      <c r="PL552">
        <v>0</v>
      </c>
      <c r="PM552">
        <v>0</v>
      </c>
      <c r="PN552">
        <v>0</v>
      </c>
      <c r="PO552">
        <v>0</v>
      </c>
      <c r="PP552">
        <v>0</v>
      </c>
      <c r="PQ552">
        <v>0</v>
      </c>
      <c r="PR552">
        <v>0</v>
      </c>
      <c r="PS552">
        <v>0</v>
      </c>
      <c r="PT552">
        <v>0</v>
      </c>
      <c r="PU552">
        <v>0</v>
      </c>
      <c r="PV552">
        <v>0</v>
      </c>
      <c r="PW552">
        <v>0</v>
      </c>
      <c r="PX552">
        <v>0</v>
      </c>
      <c r="PY552">
        <v>0</v>
      </c>
      <c r="PZ552">
        <v>0</v>
      </c>
      <c r="QA552">
        <v>0</v>
      </c>
      <c r="QB552">
        <v>0</v>
      </c>
      <c r="QC552">
        <v>0</v>
      </c>
      <c r="QD552">
        <v>0</v>
      </c>
      <c r="QE552">
        <v>0</v>
      </c>
      <c r="QF552">
        <v>0</v>
      </c>
      <c r="QG552">
        <v>0</v>
      </c>
      <c r="QH552">
        <v>0</v>
      </c>
      <c r="QI552">
        <v>0</v>
      </c>
      <c r="QJ552">
        <v>0</v>
      </c>
      <c r="QK552">
        <v>0</v>
      </c>
      <c r="QL552">
        <v>0</v>
      </c>
      <c r="QM552">
        <v>0</v>
      </c>
      <c r="QN552">
        <v>0</v>
      </c>
      <c r="QO552">
        <v>0</v>
      </c>
      <c r="QP552">
        <v>0</v>
      </c>
      <c r="QQ552">
        <v>0</v>
      </c>
      <c r="QR552">
        <v>0</v>
      </c>
      <c r="QS552">
        <v>0</v>
      </c>
      <c r="QT552">
        <v>0</v>
      </c>
      <c r="QU552">
        <v>0</v>
      </c>
      <c r="QV552">
        <v>0</v>
      </c>
      <c r="QW552">
        <v>0</v>
      </c>
      <c r="QX552">
        <v>0</v>
      </c>
      <c r="QY552">
        <v>0</v>
      </c>
    </row>
    <row r="553" spans="1:467" hidden="1" x14ac:dyDescent="0.4">
      <c r="A553" t="str">
        <f>"9784877862749"</f>
        <v>9784877862749</v>
      </c>
      <c r="B553" t="str">
        <f>"4877862749"</f>
        <v>4877862749</v>
      </c>
      <c r="C553" t="s">
        <v>2925</v>
      </c>
      <c r="D553" t="s">
        <v>2926</v>
      </c>
      <c r="E553" t="s">
        <v>2927</v>
      </c>
      <c r="F553" t="s">
        <v>2928</v>
      </c>
      <c r="G553" t="str">
        <f>"0095"</f>
        <v>0095</v>
      </c>
      <c r="H553" t="s">
        <v>481</v>
      </c>
      <c r="I553" t="s">
        <v>1893</v>
      </c>
      <c r="J553" t="s">
        <v>509</v>
      </c>
      <c r="L553" s="1">
        <v>42339</v>
      </c>
      <c r="M553">
        <v>2200</v>
      </c>
      <c r="N553">
        <v>6</v>
      </c>
      <c r="O553">
        <v>2</v>
      </c>
      <c r="P553">
        <v>6</v>
      </c>
      <c r="Q553">
        <v>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4</v>
      </c>
      <c r="CR553">
        <v>0</v>
      </c>
      <c r="CS553">
        <v>2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0</v>
      </c>
      <c r="MN553">
        <v>0</v>
      </c>
      <c r="MO553">
        <v>0</v>
      </c>
      <c r="MP553">
        <v>0</v>
      </c>
      <c r="MQ553">
        <v>0</v>
      </c>
      <c r="MR553">
        <v>0</v>
      </c>
      <c r="MS553">
        <v>0</v>
      </c>
      <c r="MT553">
        <v>0</v>
      </c>
      <c r="MU553">
        <v>0</v>
      </c>
      <c r="MV553">
        <v>0</v>
      </c>
      <c r="MW553">
        <v>0</v>
      </c>
      <c r="MX553">
        <v>0</v>
      </c>
      <c r="MY553">
        <v>0</v>
      </c>
      <c r="MZ553">
        <v>0</v>
      </c>
      <c r="NA553">
        <v>0</v>
      </c>
      <c r="NB553">
        <v>0</v>
      </c>
      <c r="NC553">
        <v>0</v>
      </c>
      <c r="ND553">
        <v>0</v>
      </c>
      <c r="NE553">
        <v>0</v>
      </c>
      <c r="NF553">
        <v>0</v>
      </c>
      <c r="NG553">
        <v>0</v>
      </c>
      <c r="NH553">
        <v>0</v>
      </c>
      <c r="NI553">
        <v>0</v>
      </c>
      <c r="NJ553">
        <v>0</v>
      </c>
      <c r="NK553">
        <v>0</v>
      </c>
      <c r="NL553">
        <v>0</v>
      </c>
      <c r="NM553">
        <v>0</v>
      </c>
      <c r="NN553">
        <v>0</v>
      </c>
      <c r="NO553">
        <v>0</v>
      </c>
      <c r="NP553">
        <v>0</v>
      </c>
      <c r="NQ553">
        <v>0</v>
      </c>
      <c r="NR553">
        <v>0</v>
      </c>
      <c r="NS553">
        <v>0</v>
      </c>
      <c r="NT553">
        <v>0</v>
      </c>
      <c r="NU553">
        <v>0</v>
      </c>
      <c r="NV553">
        <v>0</v>
      </c>
      <c r="NW553">
        <v>0</v>
      </c>
      <c r="NX553">
        <v>0</v>
      </c>
      <c r="NY553">
        <v>0</v>
      </c>
      <c r="NZ553">
        <v>0</v>
      </c>
      <c r="OA553">
        <v>0</v>
      </c>
      <c r="OB553">
        <v>0</v>
      </c>
      <c r="OC553">
        <v>0</v>
      </c>
      <c r="OD553">
        <v>0</v>
      </c>
      <c r="OE553">
        <v>0</v>
      </c>
      <c r="OF553">
        <v>0</v>
      </c>
      <c r="OG553">
        <v>0</v>
      </c>
      <c r="OH553">
        <v>0</v>
      </c>
      <c r="OI553">
        <v>0</v>
      </c>
      <c r="OJ553">
        <v>0</v>
      </c>
      <c r="OK553">
        <v>0</v>
      </c>
      <c r="OL553">
        <v>0</v>
      </c>
      <c r="OM553">
        <v>0</v>
      </c>
      <c r="ON553">
        <v>0</v>
      </c>
      <c r="OO553">
        <v>0</v>
      </c>
      <c r="OP553">
        <v>0</v>
      </c>
      <c r="OQ553">
        <v>0</v>
      </c>
      <c r="OR553">
        <v>0</v>
      </c>
      <c r="OS553">
        <v>0</v>
      </c>
      <c r="OT553">
        <v>0</v>
      </c>
      <c r="OU553">
        <v>0</v>
      </c>
      <c r="OV553">
        <v>0</v>
      </c>
      <c r="OW553">
        <v>0</v>
      </c>
      <c r="OX553">
        <v>0</v>
      </c>
      <c r="OY553">
        <v>0</v>
      </c>
      <c r="OZ553">
        <v>0</v>
      </c>
      <c r="PA553">
        <v>0</v>
      </c>
      <c r="PB553">
        <v>0</v>
      </c>
      <c r="PC553">
        <v>0</v>
      </c>
      <c r="PD553">
        <v>0</v>
      </c>
      <c r="PE553">
        <v>0</v>
      </c>
      <c r="PF553">
        <v>0</v>
      </c>
      <c r="PG553">
        <v>0</v>
      </c>
      <c r="PH553">
        <v>0</v>
      </c>
      <c r="PI553">
        <v>0</v>
      </c>
      <c r="PJ553">
        <v>0</v>
      </c>
      <c r="PK553">
        <v>0</v>
      </c>
      <c r="PL553">
        <v>0</v>
      </c>
      <c r="PM553">
        <v>0</v>
      </c>
      <c r="PN553">
        <v>0</v>
      </c>
      <c r="PO553">
        <v>0</v>
      </c>
      <c r="PP553">
        <v>0</v>
      </c>
      <c r="PQ553">
        <v>0</v>
      </c>
      <c r="PR553">
        <v>0</v>
      </c>
      <c r="PS553">
        <v>0</v>
      </c>
      <c r="PT553">
        <v>0</v>
      </c>
      <c r="PU553">
        <v>0</v>
      </c>
      <c r="PV553">
        <v>0</v>
      </c>
      <c r="PW553">
        <v>0</v>
      </c>
      <c r="PX553">
        <v>0</v>
      </c>
      <c r="PY553">
        <v>0</v>
      </c>
      <c r="PZ553">
        <v>0</v>
      </c>
      <c r="QA553">
        <v>0</v>
      </c>
      <c r="QB553">
        <v>0</v>
      </c>
      <c r="QC553">
        <v>0</v>
      </c>
      <c r="QD553">
        <v>0</v>
      </c>
      <c r="QE553">
        <v>0</v>
      </c>
      <c r="QF553">
        <v>0</v>
      </c>
      <c r="QG553">
        <v>0</v>
      </c>
      <c r="QH553">
        <v>0</v>
      </c>
      <c r="QI553">
        <v>0</v>
      </c>
      <c r="QJ553">
        <v>0</v>
      </c>
      <c r="QK553">
        <v>0</v>
      </c>
      <c r="QL553">
        <v>0</v>
      </c>
      <c r="QM553">
        <v>0</v>
      </c>
      <c r="QN553">
        <v>0</v>
      </c>
      <c r="QO553">
        <v>0</v>
      </c>
      <c r="QP553">
        <v>0</v>
      </c>
      <c r="QQ553">
        <v>0</v>
      </c>
      <c r="QR553">
        <v>0</v>
      </c>
      <c r="QS553">
        <v>0</v>
      </c>
      <c r="QT553">
        <v>0</v>
      </c>
      <c r="QU553">
        <v>0</v>
      </c>
      <c r="QV553">
        <v>0</v>
      </c>
      <c r="QW553">
        <v>0</v>
      </c>
      <c r="QX553">
        <v>0</v>
      </c>
      <c r="QY553">
        <v>0</v>
      </c>
    </row>
    <row r="554" spans="1:467" hidden="1" x14ac:dyDescent="0.4">
      <c r="A554" t="str">
        <f>"9784801006805"</f>
        <v>9784801006805</v>
      </c>
      <c r="B554" t="str">
        <f>"4801006809"</f>
        <v>4801006809</v>
      </c>
      <c r="C554" t="s">
        <v>2929</v>
      </c>
      <c r="D554" t="s">
        <v>2930</v>
      </c>
      <c r="E554" t="s">
        <v>2340</v>
      </c>
      <c r="G554" t="str">
        <f>"0098"</f>
        <v>0098</v>
      </c>
      <c r="H554" t="s">
        <v>481</v>
      </c>
      <c r="I554" t="s">
        <v>1893</v>
      </c>
      <c r="J554" t="s">
        <v>1894</v>
      </c>
      <c r="L554" s="1">
        <v>44861</v>
      </c>
      <c r="M554">
        <v>2200</v>
      </c>
      <c r="N554">
        <v>6</v>
      </c>
      <c r="O554">
        <v>4</v>
      </c>
      <c r="P554">
        <v>6</v>
      </c>
      <c r="Q554">
        <v>4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2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1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2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  <c r="MN554">
        <v>0</v>
      </c>
      <c r="MO554">
        <v>0</v>
      </c>
      <c r="MP554">
        <v>0</v>
      </c>
      <c r="MQ554">
        <v>0</v>
      </c>
      <c r="MR554">
        <v>0</v>
      </c>
      <c r="MS554">
        <v>0</v>
      </c>
      <c r="MT554">
        <v>0</v>
      </c>
      <c r="MU554">
        <v>0</v>
      </c>
      <c r="MV554">
        <v>0</v>
      </c>
      <c r="MW554">
        <v>0</v>
      </c>
      <c r="MX554">
        <v>0</v>
      </c>
      <c r="MY554">
        <v>0</v>
      </c>
      <c r="MZ554">
        <v>0</v>
      </c>
      <c r="NA554">
        <v>0</v>
      </c>
      <c r="NB554">
        <v>0</v>
      </c>
      <c r="NC554">
        <v>0</v>
      </c>
      <c r="ND554">
        <v>0</v>
      </c>
      <c r="NE554">
        <v>0</v>
      </c>
      <c r="NF554">
        <v>0</v>
      </c>
      <c r="NG554">
        <v>0</v>
      </c>
      <c r="NH554">
        <v>0</v>
      </c>
      <c r="NI554">
        <v>0</v>
      </c>
      <c r="NJ554">
        <v>0</v>
      </c>
      <c r="NK554">
        <v>0</v>
      </c>
      <c r="NL554">
        <v>0</v>
      </c>
      <c r="NM554">
        <v>0</v>
      </c>
      <c r="NN554">
        <v>0</v>
      </c>
      <c r="NO554">
        <v>0</v>
      </c>
      <c r="NP554">
        <v>0</v>
      </c>
      <c r="NQ554">
        <v>0</v>
      </c>
      <c r="NR554">
        <v>0</v>
      </c>
      <c r="NS554">
        <v>0</v>
      </c>
      <c r="NT554">
        <v>0</v>
      </c>
      <c r="NU554">
        <v>0</v>
      </c>
      <c r="NV554">
        <v>0</v>
      </c>
      <c r="NW554">
        <v>0</v>
      </c>
      <c r="NX554">
        <v>0</v>
      </c>
      <c r="NY554">
        <v>0</v>
      </c>
      <c r="NZ554">
        <v>0</v>
      </c>
      <c r="OA554">
        <v>0</v>
      </c>
      <c r="OB554">
        <v>0</v>
      </c>
      <c r="OC554">
        <v>0</v>
      </c>
      <c r="OD554">
        <v>0</v>
      </c>
      <c r="OE554">
        <v>0</v>
      </c>
      <c r="OF554">
        <v>0</v>
      </c>
      <c r="OG554">
        <v>0</v>
      </c>
      <c r="OH554">
        <v>0</v>
      </c>
      <c r="OI554">
        <v>0</v>
      </c>
      <c r="OJ554">
        <v>0</v>
      </c>
      <c r="OK554">
        <v>0</v>
      </c>
      <c r="OL554">
        <v>0</v>
      </c>
      <c r="OM554">
        <v>0</v>
      </c>
      <c r="ON554">
        <v>0</v>
      </c>
      <c r="OO554">
        <v>0</v>
      </c>
      <c r="OP554">
        <v>0</v>
      </c>
      <c r="OQ554">
        <v>0</v>
      </c>
      <c r="OR554">
        <v>0</v>
      </c>
      <c r="OS554">
        <v>0</v>
      </c>
      <c r="OT554">
        <v>0</v>
      </c>
      <c r="OU554">
        <v>0</v>
      </c>
      <c r="OV554">
        <v>0</v>
      </c>
      <c r="OW554">
        <v>0</v>
      </c>
      <c r="OX554">
        <v>0</v>
      </c>
      <c r="OY554">
        <v>0</v>
      </c>
      <c r="OZ554">
        <v>0</v>
      </c>
      <c r="PA554">
        <v>0</v>
      </c>
      <c r="PB554">
        <v>0</v>
      </c>
      <c r="PC554">
        <v>0</v>
      </c>
      <c r="PD554">
        <v>0</v>
      </c>
      <c r="PE554">
        <v>0</v>
      </c>
      <c r="PF554">
        <v>0</v>
      </c>
      <c r="PG554">
        <v>0</v>
      </c>
      <c r="PH554">
        <v>0</v>
      </c>
      <c r="PI554">
        <v>0</v>
      </c>
      <c r="PJ554">
        <v>0</v>
      </c>
      <c r="PK554">
        <v>0</v>
      </c>
      <c r="PL554">
        <v>0</v>
      </c>
      <c r="PM554">
        <v>0</v>
      </c>
      <c r="PN554">
        <v>0</v>
      </c>
      <c r="PO554">
        <v>0</v>
      </c>
      <c r="PP554">
        <v>0</v>
      </c>
      <c r="PQ554">
        <v>0</v>
      </c>
      <c r="PR554">
        <v>0</v>
      </c>
      <c r="PS554">
        <v>0</v>
      </c>
      <c r="PT554">
        <v>1</v>
      </c>
      <c r="PU554">
        <v>0</v>
      </c>
      <c r="PV554">
        <v>0</v>
      </c>
      <c r="PW554">
        <v>0</v>
      </c>
      <c r="PX554">
        <v>0</v>
      </c>
      <c r="PY554">
        <v>0</v>
      </c>
      <c r="PZ554">
        <v>0</v>
      </c>
      <c r="QA554">
        <v>0</v>
      </c>
      <c r="QB554">
        <v>0</v>
      </c>
      <c r="QC554">
        <v>0</v>
      </c>
      <c r="QD554">
        <v>0</v>
      </c>
      <c r="QE554">
        <v>0</v>
      </c>
      <c r="QF554">
        <v>0</v>
      </c>
      <c r="QG554">
        <v>0</v>
      </c>
      <c r="QH554">
        <v>0</v>
      </c>
      <c r="QI554">
        <v>0</v>
      </c>
      <c r="QJ554">
        <v>0</v>
      </c>
      <c r="QK554">
        <v>0</v>
      </c>
      <c r="QL554">
        <v>0</v>
      </c>
      <c r="QM554">
        <v>0</v>
      </c>
      <c r="QN554">
        <v>0</v>
      </c>
      <c r="QO554">
        <v>0</v>
      </c>
      <c r="QP554">
        <v>0</v>
      </c>
      <c r="QQ554">
        <v>0</v>
      </c>
      <c r="QR554">
        <v>0</v>
      </c>
      <c r="QS554">
        <v>0</v>
      </c>
      <c r="QT554">
        <v>0</v>
      </c>
      <c r="QU554">
        <v>0</v>
      </c>
      <c r="QV554">
        <v>0</v>
      </c>
      <c r="QW554">
        <v>0</v>
      </c>
      <c r="QX554">
        <v>0</v>
      </c>
      <c r="QY554">
        <v>0</v>
      </c>
    </row>
    <row r="555" spans="1:467" hidden="1" x14ac:dyDescent="0.4">
      <c r="A555" t="str">
        <f>"9784309030869"</f>
        <v>9784309030869</v>
      </c>
      <c r="B555" t="str">
        <f>"4309030866"</f>
        <v>4309030866</v>
      </c>
      <c r="C555" t="s">
        <v>2931</v>
      </c>
      <c r="D555" t="s">
        <v>2932</v>
      </c>
      <c r="E555" t="s">
        <v>1143</v>
      </c>
      <c r="G555" t="str">
        <f>"0095"</f>
        <v>0095</v>
      </c>
      <c r="H555" t="s">
        <v>481</v>
      </c>
      <c r="I555" t="s">
        <v>1893</v>
      </c>
      <c r="J555" t="s">
        <v>509</v>
      </c>
      <c r="L555" s="1">
        <v>44918</v>
      </c>
      <c r="M555">
        <v>1900</v>
      </c>
      <c r="N555">
        <v>6</v>
      </c>
      <c r="O555">
        <v>5</v>
      </c>
      <c r="P555">
        <v>6</v>
      </c>
      <c r="Q555">
        <v>5</v>
      </c>
      <c r="R555">
        <v>0</v>
      </c>
      <c r="S555">
        <v>1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1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2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1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0</v>
      </c>
      <c r="MN555">
        <v>0</v>
      </c>
      <c r="MO555">
        <v>0</v>
      </c>
      <c r="MP555">
        <v>0</v>
      </c>
      <c r="MQ555">
        <v>0</v>
      </c>
      <c r="MR555">
        <v>0</v>
      </c>
      <c r="MS555">
        <v>0</v>
      </c>
      <c r="MT555">
        <v>0</v>
      </c>
      <c r="MU555">
        <v>0</v>
      </c>
      <c r="MV555">
        <v>0</v>
      </c>
      <c r="MW555">
        <v>0</v>
      </c>
      <c r="MX555">
        <v>0</v>
      </c>
      <c r="MY555">
        <v>0</v>
      </c>
      <c r="MZ555">
        <v>0</v>
      </c>
      <c r="NA555">
        <v>0</v>
      </c>
      <c r="NB555">
        <v>0</v>
      </c>
      <c r="NC555">
        <v>0</v>
      </c>
      <c r="ND555">
        <v>0</v>
      </c>
      <c r="NE555">
        <v>1</v>
      </c>
      <c r="NF555">
        <v>0</v>
      </c>
      <c r="NG555">
        <v>0</v>
      </c>
      <c r="NH555">
        <v>0</v>
      </c>
      <c r="NI555">
        <v>0</v>
      </c>
      <c r="NJ555">
        <v>0</v>
      </c>
      <c r="NK555">
        <v>0</v>
      </c>
      <c r="NL555">
        <v>0</v>
      </c>
      <c r="NM555">
        <v>0</v>
      </c>
      <c r="NN555">
        <v>0</v>
      </c>
      <c r="NO555">
        <v>0</v>
      </c>
      <c r="NP555">
        <v>0</v>
      </c>
      <c r="NQ555">
        <v>0</v>
      </c>
      <c r="NR555">
        <v>0</v>
      </c>
      <c r="NS555">
        <v>0</v>
      </c>
      <c r="NT555">
        <v>0</v>
      </c>
      <c r="NU555">
        <v>0</v>
      </c>
      <c r="NV555">
        <v>0</v>
      </c>
      <c r="NW555">
        <v>0</v>
      </c>
      <c r="NX555">
        <v>0</v>
      </c>
      <c r="NY555">
        <v>0</v>
      </c>
      <c r="NZ555">
        <v>0</v>
      </c>
      <c r="OA555">
        <v>0</v>
      </c>
      <c r="OB555">
        <v>0</v>
      </c>
      <c r="OC555">
        <v>0</v>
      </c>
      <c r="OD555">
        <v>0</v>
      </c>
      <c r="OE555">
        <v>0</v>
      </c>
      <c r="OF555">
        <v>0</v>
      </c>
      <c r="OG555">
        <v>0</v>
      </c>
      <c r="OH555">
        <v>0</v>
      </c>
      <c r="OI555">
        <v>0</v>
      </c>
      <c r="OJ555">
        <v>0</v>
      </c>
      <c r="OK555">
        <v>0</v>
      </c>
      <c r="OL555">
        <v>0</v>
      </c>
      <c r="OM555">
        <v>0</v>
      </c>
      <c r="ON555">
        <v>0</v>
      </c>
      <c r="OO555">
        <v>0</v>
      </c>
      <c r="OP555">
        <v>0</v>
      </c>
      <c r="OQ555">
        <v>0</v>
      </c>
      <c r="OR555">
        <v>0</v>
      </c>
      <c r="OS555">
        <v>0</v>
      </c>
      <c r="OT555">
        <v>0</v>
      </c>
      <c r="OU555">
        <v>0</v>
      </c>
      <c r="OV555">
        <v>0</v>
      </c>
      <c r="OW555">
        <v>0</v>
      </c>
      <c r="OX555">
        <v>0</v>
      </c>
      <c r="OY555">
        <v>0</v>
      </c>
      <c r="OZ555">
        <v>0</v>
      </c>
      <c r="PA555">
        <v>0</v>
      </c>
      <c r="PB555">
        <v>0</v>
      </c>
      <c r="PC555">
        <v>0</v>
      </c>
      <c r="PD555">
        <v>0</v>
      </c>
      <c r="PE555">
        <v>0</v>
      </c>
      <c r="PF555">
        <v>0</v>
      </c>
      <c r="PG555">
        <v>0</v>
      </c>
      <c r="PH555">
        <v>0</v>
      </c>
      <c r="PI555">
        <v>0</v>
      </c>
      <c r="PJ555">
        <v>0</v>
      </c>
      <c r="PK555">
        <v>0</v>
      </c>
      <c r="PL555">
        <v>0</v>
      </c>
      <c r="PM555">
        <v>0</v>
      </c>
      <c r="PN555">
        <v>0</v>
      </c>
      <c r="PO555">
        <v>0</v>
      </c>
      <c r="PP555">
        <v>0</v>
      </c>
      <c r="PQ555">
        <v>0</v>
      </c>
      <c r="PR555">
        <v>0</v>
      </c>
      <c r="PS555">
        <v>0</v>
      </c>
      <c r="PT555">
        <v>0</v>
      </c>
      <c r="PU555">
        <v>0</v>
      </c>
      <c r="PV555">
        <v>0</v>
      </c>
      <c r="PW555">
        <v>0</v>
      </c>
      <c r="PX555">
        <v>0</v>
      </c>
      <c r="PY555">
        <v>0</v>
      </c>
      <c r="PZ555">
        <v>0</v>
      </c>
      <c r="QA555">
        <v>0</v>
      </c>
      <c r="QB555">
        <v>0</v>
      </c>
      <c r="QC555">
        <v>0</v>
      </c>
      <c r="QD555">
        <v>0</v>
      </c>
      <c r="QE555">
        <v>0</v>
      </c>
      <c r="QF555">
        <v>0</v>
      </c>
      <c r="QG555">
        <v>0</v>
      </c>
      <c r="QH555">
        <v>0</v>
      </c>
      <c r="QI555">
        <v>0</v>
      </c>
      <c r="QJ555">
        <v>0</v>
      </c>
      <c r="QK555">
        <v>0</v>
      </c>
      <c r="QL555">
        <v>0</v>
      </c>
      <c r="QM555">
        <v>0</v>
      </c>
      <c r="QN555">
        <v>0</v>
      </c>
      <c r="QO555">
        <v>0</v>
      </c>
      <c r="QP555">
        <v>0</v>
      </c>
      <c r="QQ555">
        <v>0</v>
      </c>
      <c r="QR555">
        <v>0</v>
      </c>
      <c r="QS555">
        <v>0</v>
      </c>
      <c r="QT555">
        <v>0</v>
      </c>
      <c r="QU555">
        <v>0</v>
      </c>
      <c r="QV555">
        <v>0</v>
      </c>
      <c r="QW555">
        <v>0</v>
      </c>
      <c r="QX555">
        <v>0</v>
      </c>
      <c r="QY555">
        <v>0</v>
      </c>
    </row>
    <row r="556" spans="1:467" x14ac:dyDescent="0.4">
      <c r="A556" t="str">
        <f>"9784088831619"</f>
        <v>9784088831619</v>
      </c>
      <c r="B556" t="str">
        <f>"4088831616"</f>
        <v>4088831616</v>
      </c>
      <c r="C556" t="s">
        <v>2933</v>
      </c>
      <c r="D556" t="s">
        <v>2256</v>
      </c>
      <c r="E556" t="s">
        <v>536</v>
      </c>
      <c r="F556" t="s">
        <v>1854</v>
      </c>
      <c r="G556" t="str">
        <f>"9979"</f>
        <v>9979</v>
      </c>
      <c r="H556" t="s">
        <v>1855</v>
      </c>
      <c r="I556" t="s">
        <v>1856</v>
      </c>
      <c r="J556" t="s">
        <v>1856</v>
      </c>
      <c r="L556" s="1">
        <v>44746</v>
      </c>
      <c r="M556">
        <v>440</v>
      </c>
      <c r="N556">
        <v>6</v>
      </c>
      <c r="O556">
        <v>6</v>
      </c>
      <c r="P556">
        <v>6</v>
      </c>
      <c r="Q556">
        <v>6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1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1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1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1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0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1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  <c r="MN556">
        <v>0</v>
      </c>
      <c r="MO556">
        <v>0</v>
      </c>
      <c r="MP556">
        <v>0</v>
      </c>
      <c r="MQ556">
        <v>0</v>
      </c>
      <c r="MR556">
        <v>0</v>
      </c>
      <c r="MS556">
        <v>0</v>
      </c>
      <c r="MT556">
        <v>0</v>
      </c>
      <c r="MU556">
        <v>0</v>
      </c>
      <c r="MV556">
        <v>0</v>
      </c>
      <c r="MW556">
        <v>0</v>
      </c>
      <c r="MX556">
        <v>0</v>
      </c>
      <c r="MY556">
        <v>0</v>
      </c>
      <c r="MZ556">
        <v>0</v>
      </c>
      <c r="NA556">
        <v>0</v>
      </c>
      <c r="NB556">
        <v>0</v>
      </c>
      <c r="NC556">
        <v>0</v>
      </c>
      <c r="ND556">
        <v>0</v>
      </c>
      <c r="NE556">
        <v>0</v>
      </c>
      <c r="NF556">
        <v>0</v>
      </c>
      <c r="NG556">
        <v>0</v>
      </c>
      <c r="NH556">
        <v>0</v>
      </c>
      <c r="NI556">
        <v>0</v>
      </c>
      <c r="NJ556">
        <v>0</v>
      </c>
      <c r="NK556">
        <v>0</v>
      </c>
      <c r="NL556">
        <v>0</v>
      </c>
      <c r="NM556">
        <v>0</v>
      </c>
      <c r="NN556">
        <v>0</v>
      </c>
      <c r="NO556">
        <v>0</v>
      </c>
      <c r="NP556">
        <v>0</v>
      </c>
      <c r="NQ556">
        <v>0</v>
      </c>
      <c r="NR556">
        <v>0</v>
      </c>
      <c r="NS556">
        <v>0</v>
      </c>
      <c r="NT556">
        <v>0</v>
      </c>
      <c r="NU556">
        <v>0</v>
      </c>
      <c r="NV556">
        <v>0</v>
      </c>
      <c r="NW556">
        <v>0</v>
      </c>
      <c r="NX556">
        <v>0</v>
      </c>
      <c r="NY556">
        <v>0</v>
      </c>
      <c r="NZ556">
        <v>0</v>
      </c>
      <c r="OA556">
        <v>0</v>
      </c>
      <c r="OB556">
        <v>0</v>
      </c>
      <c r="OC556">
        <v>0</v>
      </c>
      <c r="OD556">
        <v>0</v>
      </c>
      <c r="OE556">
        <v>0</v>
      </c>
      <c r="OF556">
        <v>0</v>
      </c>
      <c r="OG556">
        <v>0</v>
      </c>
      <c r="OH556">
        <v>0</v>
      </c>
      <c r="OI556">
        <v>0</v>
      </c>
      <c r="OJ556">
        <v>0</v>
      </c>
      <c r="OK556">
        <v>0</v>
      </c>
      <c r="OL556">
        <v>0</v>
      </c>
      <c r="OM556">
        <v>0</v>
      </c>
      <c r="ON556">
        <v>0</v>
      </c>
      <c r="OO556">
        <v>0</v>
      </c>
      <c r="OP556">
        <v>0</v>
      </c>
      <c r="OQ556">
        <v>0</v>
      </c>
      <c r="OR556">
        <v>0</v>
      </c>
      <c r="OS556">
        <v>0</v>
      </c>
      <c r="OT556">
        <v>0</v>
      </c>
      <c r="OU556">
        <v>0</v>
      </c>
      <c r="OV556">
        <v>0</v>
      </c>
      <c r="OW556">
        <v>0</v>
      </c>
      <c r="OX556">
        <v>0</v>
      </c>
      <c r="OY556">
        <v>0</v>
      </c>
      <c r="OZ556">
        <v>0</v>
      </c>
      <c r="PA556">
        <v>0</v>
      </c>
      <c r="PB556">
        <v>0</v>
      </c>
      <c r="PC556">
        <v>0</v>
      </c>
      <c r="PD556">
        <v>0</v>
      </c>
      <c r="PE556">
        <v>0</v>
      </c>
      <c r="PF556">
        <v>0</v>
      </c>
      <c r="PG556">
        <v>0</v>
      </c>
      <c r="PH556">
        <v>0</v>
      </c>
      <c r="PI556">
        <v>0</v>
      </c>
      <c r="PJ556">
        <v>0</v>
      </c>
      <c r="PK556">
        <v>0</v>
      </c>
      <c r="PL556">
        <v>0</v>
      </c>
      <c r="PM556">
        <v>0</v>
      </c>
      <c r="PN556">
        <v>0</v>
      </c>
      <c r="PO556">
        <v>0</v>
      </c>
      <c r="PP556">
        <v>0</v>
      </c>
      <c r="PQ556">
        <v>0</v>
      </c>
      <c r="PR556">
        <v>0</v>
      </c>
      <c r="PS556">
        <v>0</v>
      </c>
      <c r="PT556">
        <v>0</v>
      </c>
      <c r="PU556">
        <v>0</v>
      </c>
      <c r="PV556">
        <v>0</v>
      </c>
      <c r="PW556">
        <v>0</v>
      </c>
      <c r="PX556">
        <v>0</v>
      </c>
      <c r="PY556">
        <v>0</v>
      </c>
      <c r="PZ556">
        <v>0</v>
      </c>
      <c r="QA556">
        <v>0</v>
      </c>
      <c r="QB556">
        <v>0</v>
      </c>
      <c r="QC556">
        <v>0</v>
      </c>
      <c r="QD556">
        <v>0</v>
      </c>
      <c r="QE556">
        <v>0</v>
      </c>
      <c r="QF556">
        <v>0</v>
      </c>
      <c r="QG556">
        <v>0</v>
      </c>
      <c r="QH556">
        <v>0</v>
      </c>
      <c r="QI556">
        <v>0</v>
      </c>
      <c r="QJ556">
        <v>0</v>
      </c>
      <c r="QK556">
        <v>1</v>
      </c>
      <c r="QL556">
        <v>0</v>
      </c>
      <c r="QM556">
        <v>0</v>
      </c>
      <c r="QN556">
        <v>0</v>
      </c>
      <c r="QO556">
        <v>0</v>
      </c>
      <c r="QP556">
        <v>0</v>
      </c>
      <c r="QQ556">
        <v>0</v>
      </c>
      <c r="QR556">
        <v>0</v>
      </c>
      <c r="QS556">
        <v>0</v>
      </c>
      <c r="QT556">
        <v>0</v>
      </c>
      <c r="QU556">
        <v>0</v>
      </c>
      <c r="QV556">
        <v>0</v>
      </c>
      <c r="QW556">
        <v>0</v>
      </c>
      <c r="QX556">
        <v>0</v>
      </c>
      <c r="QY556">
        <v>0</v>
      </c>
    </row>
    <row r="557" spans="1:467" hidden="1" x14ac:dyDescent="0.4">
      <c r="A557" t="str">
        <f>"9784023347304"</f>
        <v>9784023347304</v>
      </c>
      <c r="B557" t="str">
        <f>"4023347302"</f>
        <v>4023347302</v>
      </c>
      <c r="C557" t="s">
        <v>2934</v>
      </c>
      <c r="D557" t="s">
        <v>498</v>
      </c>
      <c r="E557" t="s">
        <v>498</v>
      </c>
      <c r="G557" t="str">
        <f>"2076"</f>
        <v>2076</v>
      </c>
      <c r="H557" t="s">
        <v>1991</v>
      </c>
      <c r="I557" t="s">
        <v>1893</v>
      </c>
      <c r="J557" t="s">
        <v>552</v>
      </c>
      <c r="L557" s="1">
        <v>44841</v>
      </c>
      <c r="M557">
        <v>1200</v>
      </c>
      <c r="N557">
        <v>6</v>
      </c>
      <c r="O557">
        <v>3</v>
      </c>
      <c r="P557">
        <v>6</v>
      </c>
      <c r="Q557">
        <v>3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1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0</v>
      </c>
      <c r="JF557">
        <v>3</v>
      </c>
      <c r="JG557">
        <v>0</v>
      </c>
      <c r="JH557">
        <v>0</v>
      </c>
      <c r="JI557">
        <v>0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2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0</v>
      </c>
      <c r="MN557">
        <v>0</v>
      </c>
      <c r="MO557">
        <v>0</v>
      </c>
      <c r="MP557">
        <v>0</v>
      </c>
      <c r="MQ557">
        <v>0</v>
      </c>
      <c r="MR557">
        <v>0</v>
      </c>
      <c r="MS557">
        <v>0</v>
      </c>
      <c r="MT557">
        <v>0</v>
      </c>
      <c r="MU557">
        <v>0</v>
      </c>
      <c r="MV557">
        <v>0</v>
      </c>
      <c r="MW557">
        <v>0</v>
      </c>
      <c r="MX557">
        <v>0</v>
      </c>
      <c r="MY557">
        <v>0</v>
      </c>
      <c r="MZ557">
        <v>0</v>
      </c>
      <c r="NA557">
        <v>0</v>
      </c>
      <c r="NB557">
        <v>0</v>
      </c>
      <c r="NC557">
        <v>0</v>
      </c>
      <c r="ND557">
        <v>0</v>
      </c>
      <c r="NE557">
        <v>0</v>
      </c>
      <c r="NF557">
        <v>0</v>
      </c>
      <c r="NG557">
        <v>0</v>
      </c>
      <c r="NH557">
        <v>0</v>
      </c>
      <c r="NI557">
        <v>0</v>
      </c>
      <c r="NJ557">
        <v>0</v>
      </c>
      <c r="NK557">
        <v>0</v>
      </c>
      <c r="NL557">
        <v>0</v>
      </c>
      <c r="NM557">
        <v>0</v>
      </c>
      <c r="NN557">
        <v>0</v>
      </c>
      <c r="NO557">
        <v>0</v>
      </c>
      <c r="NP557">
        <v>0</v>
      </c>
      <c r="NQ557">
        <v>0</v>
      </c>
      <c r="NR557">
        <v>0</v>
      </c>
      <c r="NS557">
        <v>0</v>
      </c>
      <c r="NT557">
        <v>0</v>
      </c>
      <c r="NU557">
        <v>0</v>
      </c>
      <c r="NV557">
        <v>0</v>
      </c>
      <c r="NW557">
        <v>0</v>
      </c>
      <c r="NX557">
        <v>0</v>
      </c>
      <c r="NY557">
        <v>0</v>
      </c>
      <c r="NZ557">
        <v>0</v>
      </c>
      <c r="OA557">
        <v>0</v>
      </c>
      <c r="OB557">
        <v>0</v>
      </c>
      <c r="OC557">
        <v>0</v>
      </c>
      <c r="OD557">
        <v>0</v>
      </c>
      <c r="OE557">
        <v>0</v>
      </c>
      <c r="OF557">
        <v>0</v>
      </c>
      <c r="OG557">
        <v>0</v>
      </c>
      <c r="OH557">
        <v>0</v>
      </c>
      <c r="OI557">
        <v>0</v>
      </c>
      <c r="OJ557">
        <v>0</v>
      </c>
      <c r="OK557">
        <v>0</v>
      </c>
      <c r="OL557">
        <v>0</v>
      </c>
      <c r="OM557">
        <v>0</v>
      </c>
      <c r="ON557">
        <v>0</v>
      </c>
      <c r="OO557">
        <v>0</v>
      </c>
      <c r="OP557">
        <v>0</v>
      </c>
      <c r="OQ557">
        <v>0</v>
      </c>
      <c r="OR557">
        <v>0</v>
      </c>
      <c r="OS557">
        <v>0</v>
      </c>
      <c r="OT557">
        <v>0</v>
      </c>
      <c r="OU557">
        <v>0</v>
      </c>
      <c r="OV557">
        <v>0</v>
      </c>
      <c r="OW557">
        <v>0</v>
      </c>
      <c r="OX557">
        <v>0</v>
      </c>
      <c r="OY557">
        <v>0</v>
      </c>
      <c r="OZ557">
        <v>0</v>
      </c>
      <c r="PA557">
        <v>0</v>
      </c>
      <c r="PB557">
        <v>0</v>
      </c>
      <c r="PC557">
        <v>0</v>
      </c>
      <c r="PD557">
        <v>0</v>
      </c>
      <c r="PE557">
        <v>0</v>
      </c>
      <c r="PF557">
        <v>0</v>
      </c>
      <c r="PG557">
        <v>0</v>
      </c>
      <c r="PH557">
        <v>0</v>
      </c>
      <c r="PI557">
        <v>0</v>
      </c>
      <c r="PJ557">
        <v>0</v>
      </c>
      <c r="PK557">
        <v>0</v>
      </c>
      <c r="PL557">
        <v>0</v>
      </c>
      <c r="PM557">
        <v>0</v>
      </c>
      <c r="PN557">
        <v>0</v>
      </c>
      <c r="PO557">
        <v>0</v>
      </c>
      <c r="PP557">
        <v>0</v>
      </c>
      <c r="PQ557">
        <v>0</v>
      </c>
      <c r="PR557">
        <v>0</v>
      </c>
      <c r="PS557">
        <v>0</v>
      </c>
      <c r="PT557">
        <v>0</v>
      </c>
      <c r="PU557">
        <v>0</v>
      </c>
      <c r="PV557">
        <v>0</v>
      </c>
      <c r="PW557">
        <v>0</v>
      </c>
      <c r="PX557">
        <v>0</v>
      </c>
      <c r="PY557">
        <v>0</v>
      </c>
      <c r="PZ557">
        <v>0</v>
      </c>
      <c r="QA557">
        <v>0</v>
      </c>
      <c r="QB557">
        <v>0</v>
      </c>
      <c r="QC557">
        <v>0</v>
      </c>
      <c r="QD557">
        <v>0</v>
      </c>
      <c r="QE557">
        <v>0</v>
      </c>
      <c r="QF557">
        <v>0</v>
      </c>
      <c r="QG557">
        <v>0</v>
      </c>
      <c r="QH557">
        <v>0</v>
      </c>
      <c r="QI557">
        <v>0</v>
      </c>
      <c r="QJ557">
        <v>0</v>
      </c>
      <c r="QK557">
        <v>0</v>
      </c>
      <c r="QL557">
        <v>0</v>
      </c>
      <c r="QM557">
        <v>0</v>
      </c>
      <c r="QN557">
        <v>0</v>
      </c>
      <c r="QO557">
        <v>0</v>
      </c>
      <c r="QP557">
        <v>0</v>
      </c>
      <c r="QQ557">
        <v>0</v>
      </c>
      <c r="QR557">
        <v>0</v>
      </c>
      <c r="QS557">
        <v>0</v>
      </c>
      <c r="QT557">
        <v>0</v>
      </c>
      <c r="QU557">
        <v>0</v>
      </c>
      <c r="QV557">
        <v>0</v>
      </c>
      <c r="QW557">
        <v>0</v>
      </c>
      <c r="QX557">
        <v>0</v>
      </c>
      <c r="QY557">
        <v>0</v>
      </c>
    </row>
    <row r="558" spans="1:467" hidden="1" x14ac:dyDescent="0.4">
      <c r="A558" t="str">
        <f>"9784750517681"</f>
        <v>9784750517681</v>
      </c>
      <c r="B558" t="str">
        <f>"4750517682"</f>
        <v>4750517682</v>
      </c>
      <c r="C558" t="s">
        <v>2935</v>
      </c>
      <c r="D558" t="s">
        <v>2936</v>
      </c>
      <c r="E558" t="s">
        <v>2466</v>
      </c>
      <c r="G558" t="str">
        <f>"0098"</f>
        <v>0098</v>
      </c>
      <c r="H558" t="s">
        <v>481</v>
      </c>
      <c r="I558" t="s">
        <v>1893</v>
      </c>
      <c r="J558" t="s">
        <v>1894</v>
      </c>
      <c r="L558" s="1">
        <v>44859</v>
      </c>
      <c r="M558">
        <v>2200</v>
      </c>
      <c r="N558">
        <v>6</v>
      </c>
      <c r="O558">
        <v>5</v>
      </c>
      <c r="P558">
        <v>6</v>
      </c>
      <c r="Q558">
        <v>5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1</v>
      </c>
      <c r="CR558">
        <v>0</v>
      </c>
      <c r="CS558">
        <v>2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1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0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0</v>
      </c>
      <c r="JG558">
        <v>0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1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  <c r="MN558">
        <v>0</v>
      </c>
      <c r="MO558">
        <v>0</v>
      </c>
      <c r="MP558">
        <v>0</v>
      </c>
      <c r="MQ558">
        <v>0</v>
      </c>
      <c r="MR558">
        <v>0</v>
      </c>
      <c r="MS558">
        <v>0</v>
      </c>
      <c r="MT558">
        <v>0</v>
      </c>
      <c r="MU558">
        <v>0</v>
      </c>
      <c r="MV558">
        <v>0</v>
      </c>
      <c r="MW558">
        <v>0</v>
      </c>
      <c r="MX558">
        <v>0</v>
      </c>
      <c r="MY558">
        <v>0</v>
      </c>
      <c r="MZ558">
        <v>0</v>
      </c>
      <c r="NA558">
        <v>0</v>
      </c>
      <c r="NB558">
        <v>0</v>
      </c>
      <c r="NC558">
        <v>0</v>
      </c>
      <c r="ND558">
        <v>0</v>
      </c>
      <c r="NE558">
        <v>0</v>
      </c>
      <c r="NF558">
        <v>0</v>
      </c>
      <c r="NG558">
        <v>0</v>
      </c>
      <c r="NH558">
        <v>0</v>
      </c>
      <c r="NI558">
        <v>0</v>
      </c>
      <c r="NJ558">
        <v>0</v>
      </c>
      <c r="NK558">
        <v>0</v>
      </c>
      <c r="NL558">
        <v>0</v>
      </c>
      <c r="NM558">
        <v>0</v>
      </c>
      <c r="NN558">
        <v>0</v>
      </c>
      <c r="NO558">
        <v>0</v>
      </c>
      <c r="NP558">
        <v>0</v>
      </c>
      <c r="NQ558">
        <v>0</v>
      </c>
      <c r="NR558">
        <v>0</v>
      </c>
      <c r="NS558">
        <v>0</v>
      </c>
      <c r="NT558">
        <v>0</v>
      </c>
      <c r="NU558">
        <v>0</v>
      </c>
      <c r="NV558">
        <v>0</v>
      </c>
      <c r="NW558">
        <v>0</v>
      </c>
      <c r="NX558">
        <v>0</v>
      </c>
      <c r="NY558">
        <v>0</v>
      </c>
      <c r="NZ558">
        <v>0</v>
      </c>
      <c r="OA558">
        <v>0</v>
      </c>
      <c r="OB558">
        <v>0</v>
      </c>
      <c r="OC558">
        <v>0</v>
      </c>
      <c r="OD558">
        <v>0</v>
      </c>
      <c r="OE558">
        <v>0</v>
      </c>
      <c r="OF558">
        <v>0</v>
      </c>
      <c r="OG558">
        <v>0</v>
      </c>
      <c r="OH558">
        <v>0</v>
      </c>
      <c r="OI558">
        <v>0</v>
      </c>
      <c r="OJ558">
        <v>0</v>
      </c>
      <c r="OK558">
        <v>0</v>
      </c>
      <c r="OL558">
        <v>0</v>
      </c>
      <c r="OM558">
        <v>1</v>
      </c>
      <c r="ON558">
        <v>0</v>
      </c>
      <c r="OO558">
        <v>0</v>
      </c>
      <c r="OP558">
        <v>0</v>
      </c>
      <c r="OQ558">
        <v>0</v>
      </c>
      <c r="OR558">
        <v>0</v>
      </c>
      <c r="OS558">
        <v>0</v>
      </c>
      <c r="OT558">
        <v>0</v>
      </c>
      <c r="OU558">
        <v>0</v>
      </c>
      <c r="OV558">
        <v>0</v>
      </c>
      <c r="OW558">
        <v>0</v>
      </c>
      <c r="OX558">
        <v>0</v>
      </c>
      <c r="OY558">
        <v>0</v>
      </c>
      <c r="OZ558">
        <v>0</v>
      </c>
      <c r="PA558">
        <v>0</v>
      </c>
      <c r="PB558">
        <v>0</v>
      </c>
      <c r="PC558">
        <v>0</v>
      </c>
      <c r="PD558">
        <v>0</v>
      </c>
      <c r="PE558">
        <v>0</v>
      </c>
      <c r="PF558">
        <v>0</v>
      </c>
      <c r="PG558">
        <v>0</v>
      </c>
      <c r="PH558">
        <v>0</v>
      </c>
      <c r="PI558">
        <v>0</v>
      </c>
      <c r="PJ558">
        <v>0</v>
      </c>
      <c r="PK558">
        <v>0</v>
      </c>
      <c r="PL558">
        <v>0</v>
      </c>
      <c r="PM558">
        <v>0</v>
      </c>
      <c r="PN558">
        <v>0</v>
      </c>
      <c r="PO558">
        <v>0</v>
      </c>
      <c r="PP558">
        <v>0</v>
      </c>
      <c r="PQ558">
        <v>0</v>
      </c>
      <c r="PR558">
        <v>0</v>
      </c>
      <c r="PS558">
        <v>0</v>
      </c>
      <c r="PT558">
        <v>0</v>
      </c>
      <c r="PU558">
        <v>0</v>
      </c>
      <c r="PV558">
        <v>0</v>
      </c>
      <c r="PW558">
        <v>0</v>
      </c>
      <c r="PX558">
        <v>0</v>
      </c>
      <c r="PY558">
        <v>0</v>
      </c>
      <c r="PZ558">
        <v>0</v>
      </c>
      <c r="QA558">
        <v>0</v>
      </c>
      <c r="QB558">
        <v>0</v>
      </c>
      <c r="QC558">
        <v>0</v>
      </c>
      <c r="QD558">
        <v>0</v>
      </c>
      <c r="QE558">
        <v>0</v>
      </c>
      <c r="QF558">
        <v>0</v>
      </c>
      <c r="QG558">
        <v>0</v>
      </c>
      <c r="QH558">
        <v>0</v>
      </c>
      <c r="QI558">
        <v>0</v>
      </c>
      <c r="QJ558">
        <v>0</v>
      </c>
      <c r="QK558">
        <v>0</v>
      </c>
      <c r="QL558">
        <v>0</v>
      </c>
      <c r="QM558">
        <v>0</v>
      </c>
      <c r="QN558">
        <v>0</v>
      </c>
      <c r="QO558">
        <v>0</v>
      </c>
      <c r="QP558">
        <v>0</v>
      </c>
      <c r="QQ558">
        <v>0</v>
      </c>
      <c r="QR558">
        <v>0</v>
      </c>
      <c r="QS558">
        <v>0</v>
      </c>
      <c r="QT558">
        <v>0</v>
      </c>
      <c r="QU558">
        <v>0</v>
      </c>
      <c r="QV558">
        <v>0</v>
      </c>
      <c r="QW558">
        <v>0</v>
      </c>
      <c r="QX558">
        <v>0</v>
      </c>
      <c r="QY558">
        <v>0</v>
      </c>
    </row>
    <row r="559" spans="1:467" hidden="1" x14ac:dyDescent="0.4">
      <c r="A559" t="str">
        <f>"9784480816863"</f>
        <v>9784480816863</v>
      </c>
      <c r="B559" t="str">
        <f>"4480816860"</f>
        <v>4480816860</v>
      </c>
      <c r="C559" t="s">
        <v>2937</v>
      </c>
      <c r="D559" t="s">
        <v>2938</v>
      </c>
      <c r="E559" t="s">
        <v>501</v>
      </c>
      <c r="G559" t="str">
        <f>"0095"</f>
        <v>0095</v>
      </c>
      <c r="H559" t="s">
        <v>481</v>
      </c>
      <c r="I559" t="s">
        <v>1893</v>
      </c>
      <c r="J559" t="s">
        <v>509</v>
      </c>
      <c r="L559" s="1">
        <v>44879</v>
      </c>
      <c r="M559">
        <v>2000</v>
      </c>
      <c r="N559">
        <v>6</v>
      </c>
      <c r="O559">
        <v>6</v>
      </c>
      <c r="P559">
        <v>6</v>
      </c>
      <c r="Q559">
        <v>6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1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1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1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1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0</v>
      </c>
      <c r="IL559">
        <v>0</v>
      </c>
      <c r="IM559">
        <v>0</v>
      </c>
      <c r="IN559">
        <v>0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0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0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0</v>
      </c>
      <c r="MK559">
        <v>0</v>
      </c>
      <c r="ML559">
        <v>0</v>
      </c>
      <c r="MM559">
        <v>0</v>
      </c>
      <c r="MN559">
        <v>0</v>
      </c>
      <c r="MO559">
        <v>0</v>
      </c>
      <c r="MP559">
        <v>0</v>
      </c>
      <c r="MQ559">
        <v>0</v>
      </c>
      <c r="MR559">
        <v>0</v>
      </c>
      <c r="MS559">
        <v>0</v>
      </c>
      <c r="MT559">
        <v>0</v>
      </c>
      <c r="MU559">
        <v>0</v>
      </c>
      <c r="MV559">
        <v>1</v>
      </c>
      <c r="MW559">
        <v>0</v>
      </c>
      <c r="MX559">
        <v>0</v>
      </c>
      <c r="MY559">
        <v>0</v>
      </c>
      <c r="MZ559">
        <v>0</v>
      </c>
      <c r="NA559">
        <v>0</v>
      </c>
      <c r="NB559">
        <v>0</v>
      </c>
      <c r="NC559">
        <v>0</v>
      </c>
      <c r="ND559">
        <v>0</v>
      </c>
      <c r="NE559">
        <v>0</v>
      </c>
      <c r="NF559">
        <v>0</v>
      </c>
      <c r="NG559">
        <v>0</v>
      </c>
      <c r="NH559">
        <v>0</v>
      </c>
      <c r="NI559">
        <v>0</v>
      </c>
      <c r="NJ559">
        <v>0</v>
      </c>
      <c r="NK559">
        <v>0</v>
      </c>
      <c r="NL559">
        <v>0</v>
      </c>
      <c r="NM559">
        <v>0</v>
      </c>
      <c r="NN559">
        <v>0</v>
      </c>
      <c r="NO559">
        <v>0</v>
      </c>
      <c r="NP559">
        <v>0</v>
      </c>
      <c r="NQ559">
        <v>0</v>
      </c>
      <c r="NR559">
        <v>0</v>
      </c>
      <c r="NS559">
        <v>0</v>
      </c>
      <c r="NT559">
        <v>0</v>
      </c>
      <c r="NU559">
        <v>0</v>
      </c>
      <c r="NV559">
        <v>0</v>
      </c>
      <c r="NW559">
        <v>0</v>
      </c>
      <c r="NX559">
        <v>0</v>
      </c>
      <c r="NY559">
        <v>0</v>
      </c>
      <c r="NZ559">
        <v>0</v>
      </c>
      <c r="OA559">
        <v>0</v>
      </c>
      <c r="OB559">
        <v>0</v>
      </c>
      <c r="OC559">
        <v>0</v>
      </c>
      <c r="OD559">
        <v>0</v>
      </c>
      <c r="OE559">
        <v>0</v>
      </c>
      <c r="OF559">
        <v>0</v>
      </c>
      <c r="OG559">
        <v>0</v>
      </c>
      <c r="OH559">
        <v>0</v>
      </c>
      <c r="OI559">
        <v>0</v>
      </c>
      <c r="OJ559">
        <v>0</v>
      </c>
      <c r="OK559">
        <v>0</v>
      </c>
      <c r="OL559">
        <v>0</v>
      </c>
      <c r="OM559">
        <v>0</v>
      </c>
      <c r="ON559">
        <v>0</v>
      </c>
      <c r="OO559">
        <v>0</v>
      </c>
      <c r="OP559">
        <v>0</v>
      </c>
      <c r="OQ559">
        <v>0</v>
      </c>
      <c r="OR559">
        <v>0</v>
      </c>
      <c r="OS559">
        <v>0</v>
      </c>
      <c r="OT559">
        <v>0</v>
      </c>
      <c r="OU559">
        <v>0</v>
      </c>
      <c r="OV559">
        <v>0</v>
      </c>
      <c r="OW559">
        <v>0</v>
      </c>
      <c r="OX559">
        <v>0</v>
      </c>
      <c r="OY559">
        <v>0</v>
      </c>
      <c r="OZ559">
        <v>0</v>
      </c>
      <c r="PA559">
        <v>0</v>
      </c>
      <c r="PB559">
        <v>0</v>
      </c>
      <c r="PC559">
        <v>0</v>
      </c>
      <c r="PD559">
        <v>0</v>
      </c>
      <c r="PE559">
        <v>0</v>
      </c>
      <c r="PF559">
        <v>0</v>
      </c>
      <c r="PG559">
        <v>0</v>
      </c>
      <c r="PH559">
        <v>0</v>
      </c>
      <c r="PI559">
        <v>1</v>
      </c>
      <c r="PJ559">
        <v>0</v>
      </c>
      <c r="PK559">
        <v>0</v>
      </c>
      <c r="PL559">
        <v>0</v>
      </c>
      <c r="PM559">
        <v>0</v>
      </c>
      <c r="PN559">
        <v>0</v>
      </c>
      <c r="PO559">
        <v>0</v>
      </c>
      <c r="PP559">
        <v>0</v>
      </c>
      <c r="PQ559">
        <v>0</v>
      </c>
      <c r="PR559">
        <v>0</v>
      </c>
      <c r="PS559">
        <v>0</v>
      </c>
      <c r="PT559">
        <v>0</v>
      </c>
      <c r="PU559">
        <v>0</v>
      </c>
      <c r="PV559">
        <v>0</v>
      </c>
      <c r="PW559">
        <v>0</v>
      </c>
      <c r="PX559">
        <v>0</v>
      </c>
      <c r="PY559">
        <v>0</v>
      </c>
      <c r="PZ559">
        <v>0</v>
      </c>
      <c r="QA559">
        <v>0</v>
      </c>
      <c r="QB559">
        <v>0</v>
      </c>
      <c r="QC559">
        <v>0</v>
      </c>
      <c r="QD559">
        <v>0</v>
      </c>
      <c r="QE559">
        <v>0</v>
      </c>
      <c r="QF559">
        <v>0</v>
      </c>
      <c r="QG559">
        <v>0</v>
      </c>
      <c r="QH559">
        <v>0</v>
      </c>
      <c r="QI559">
        <v>0</v>
      </c>
      <c r="QJ559">
        <v>0</v>
      </c>
      <c r="QK559">
        <v>0</v>
      </c>
      <c r="QL559">
        <v>0</v>
      </c>
      <c r="QM559">
        <v>0</v>
      </c>
      <c r="QN559">
        <v>0</v>
      </c>
      <c r="QO559">
        <v>0</v>
      </c>
      <c r="QP559">
        <v>0</v>
      </c>
      <c r="QQ559">
        <v>0</v>
      </c>
      <c r="QR559">
        <v>0</v>
      </c>
      <c r="QS559">
        <v>0</v>
      </c>
      <c r="QT559">
        <v>0</v>
      </c>
      <c r="QU559">
        <v>0</v>
      </c>
      <c r="QV559">
        <v>0</v>
      </c>
      <c r="QW559">
        <v>0</v>
      </c>
      <c r="QX559">
        <v>0</v>
      </c>
      <c r="QY559">
        <v>0</v>
      </c>
    </row>
    <row r="560" spans="1:467" hidden="1" x14ac:dyDescent="0.4">
      <c r="A560" t="str">
        <f>"9784834402896"</f>
        <v>9784834402896</v>
      </c>
      <c r="B560" t="str">
        <f>"4834402894"</f>
        <v>4834402894</v>
      </c>
      <c r="C560" t="s">
        <v>2939</v>
      </c>
      <c r="E560" t="s">
        <v>2940</v>
      </c>
      <c r="G560" t="str">
        <f>""</f>
        <v/>
      </c>
      <c r="L560" s="1">
        <v>44909</v>
      </c>
      <c r="M560">
        <v>2200</v>
      </c>
      <c r="N560">
        <v>6</v>
      </c>
      <c r="O560">
        <v>6</v>
      </c>
      <c r="P560">
        <v>6</v>
      </c>
      <c r="Q560">
        <v>6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1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1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1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1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0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1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  <c r="IK560">
        <v>0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0</v>
      </c>
      <c r="JF560">
        <v>0</v>
      </c>
      <c r="JG560">
        <v>0</v>
      </c>
      <c r="JH560">
        <v>0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0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0</v>
      </c>
      <c r="MK560">
        <v>0</v>
      </c>
      <c r="ML560">
        <v>0</v>
      </c>
      <c r="MM560">
        <v>0</v>
      </c>
      <c r="MN560">
        <v>0</v>
      </c>
      <c r="MO560">
        <v>0</v>
      </c>
      <c r="MP560">
        <v>0</v>
      </c>
      <c r="MQ560">
        <v>0</v>
      </c>
      <c r="MR560">
        <v>0</v>
      </c>
      <c r="MS560">
        <v>0</v>
      </c>
      <c r="MT560">
        <v>0</v>
      </c>
      <c r="MU560">
        <v>0</v>
      </c>
      <c r="MV560">
        <v>0</v>
      </c>
      <c r="MW560">
        <v>0</v>
      </c>
      <c r="MX560">
        <v>0</v>
      </c>
      <c r="MY560">
        <v>0</v>
      </c>
      <c r="MZ560">
        <v>0</v>
      </c>
      <c r="NA560">
        <v>0</v>
      </c>
      <c r="NB560">
        <v>0</v>
      </c>
      <c r="NC560">
        <v>0</v>
      </c>
      <c r="ND560">
        <v>0</v>
      </c>
      <c r="NE560">
        <v>0</v>
      </c>
      <c r="NF560">
        <v>0</v>
      </c>
      <c r="NG560">
        <v>0</v>
      </c>
      <c r="NH560">
        <v>0</v>
      </c>
      <c r="NI560">
        <v>0</v>
      </c>
      <c r="NJ560">
        <v>0</v>
      </c>
      <c r="NK560">
        <v>0</v>
      </c>
      <c r="NL560">
        <v>0</v>
      </c>
      <c r="NM560">
        <v>0</v>
      </c>
      <c r="NN560">
        <v>0</v>
      </c>
      <c r="NO560">
        <v>0</v>
      </c>
      <c r="NP560">
        <v>0</v>
      </c>
      <c r="NQ560">
        <v>0</v>
      </c>
      <c r="NR560">
        <v>0</v>
      </c>
      <c r="NS560">
        <v>0</v>
      </c>
      <c r="NT560">
        <v>0</v>
      </c>
      <c r="NU560">
        <v>0</v>
      </c>
      <c r="NV560">
        <v>0</v>
      </c>
      <c r="NW560">
        <v>0</v>
      </c>
      <c r="NX560">
        <v>0</v>
      </c>
      <c r="NY560">
        <v>0</v>
      </c>
      <c r="NZ560">
        <v>0</v>
      </c>
      <c r="OA560">
        <v>0</v>
      </c>
      <c r="OB560">
        <v>0</v>
      </c>
      <c r="OC560">
        <v>0</v>
      </c>
      <c r="OD560">
        <v>0</v>
      </c>
      <c r="OE560">
        <v>0</v>
      </c>
      <c r="OF560">
        <v>0</v>
      </c>
      <c r="OG560">
        <v>0</v>
      </c>
      <c r="OH560">
        <v>0</v>
      </c>
      <c r="OI560">
        <v>0</v>
      </c>
      <c r="OJ560">
        <v>0</v>
      </c>
      <c r="OK560">
        <v>0</v>
      </c>
      <c r="OL560">
        <v>0</v>
      </c>
      <c r="OM560">
        <v>0</v>
      </c>
      <c r="ON560">
        <v>0</v>
      </c>
      <c r="OO560">
        <v>0</v>
      </c>
      <c r="OP560">
        <v>0</v>
      </c>
      <c r="OQ560">
        <v>0</v>
      </c>
      <c r="OR560">
        <v>0</v>
      </c>
      <c r="OS560">
        <v>0</v>
      </c>
      <c r="OT560">
        <v>0</v>
      </c>
      <c r="OU560">
        <v>0</v>
      </c>
      <c r="OV560">
        <v>0</v>
      </c>
      <c r="OW560">
        <v>0</v>
      </c>
      <c r="OX560">
        <v>0</v>
      </c>
      <c r="OY560">
        <v>0</v>
      </c>
      <c r="OZ560">
        <v>0</v>
      </c>
      <c r="PA560">
        <v>0</v>
      </c>
      <c r="PB560">
        <v>0</v>
      </c>
      <c r="PC560">
        <v>0</v>
      </c>
      <c r="PD560">
        <v>0</v>
      </c>
      <c r="PE560">
        <v>0</v>
      </c>
      <c r="PF560">
        <v>0</v>
      </c>
      <c r="PG560">
        <v>0</v>
      </c>
      <c r="PH560">
        <v>0</v>
      </c>
      <c r="PI560">
        <v>0</v>
      </c>
      <c r="PJ560">
        <v>0</v>
      </c>
      <c r="PK560">
        <v>0</v>
      </c>
      <c r="PL560">
        <v>0</v>
      </c>
      <c r="PM560">
        <v>0</v>
      </c>
      <c r="PN560">
        <v>0</v>
      </c>
      <c r="PO560">
        <v>0</v>
      </c>
      <c r="PP560">
        <v>0</v>
      </c>
      <c r="PQ560">
        <v>0</v>
      </c>
      <c r="PR560">
        <v>0</v>
      </c>
      <c r="PS560">
        <v>0</v>
      </c>
      <c r="PT560">
        <v>0</v>
      </c>
      <c r="PU560">
        <v>0</v>
      </c>
      <c r="PV560">
        <v>0</v>
      </c>
      <c r="PW560">
        <v>0</v>
      </c>
      <c r="PX560">
        <v>0</v>
      </c>
      <c r="PY560">
        <v>0</v>
      </c>
      <c r="PZ560">
        <v>0</v>
      </c>
      <c r="QA560">
        <v>0</v>
      </c>
      <c r="QB560">
        <v>0</v>
      </c>
      <c r="QC560">
        <v>0</v>
      </c>
      <c r="QD560">
        <v>0</v>
      </c>
      <c r="QE560">
        <v>0</v>
      </c>
      <c r="QF560">
        <v>0</v>
      </c>
      <c r="QG560">
        <v>0</v>
      </c>
      <c r="QH560">
        <v>0</v>
      </c>
      <c r="QI560">
        <v>0</v>
      </c>
      <c r="QJ560">
        <v>0</v>
      </c>
      <c r="QK560">
        <v>1</v>
      </c>
      <c r="QL560">
        <v>0</v>
      </c>
      <c r="QM560">
        <v>0</v>
      </c>
      <c r="QN560">
        <v>0</v>
      </c>
      <c r="QO560">
        <v>0</v>
      </c>
      <c r="QP560">
        <v>0</v>
      </c>
      <c r="QQ560">
        <v>0</v>
      </c>
      <c r="QR560">
        <v>0</v>
      </c>
      <c r="QS560">
        <v>0</v>
      </c>
      <c r="QT560">
        <v>0</v>
      </c>
      <c r="QU560">
        <v>0</v>
      </c>
      <c r="QV560">
        <v>0</v>
      </c>
      <c r="QW560">
        <v>0</v>
      </c>
      <c r="QX560">
        <v>0</v>
      </c>
      <c r="QY560">
        <v>0</v>
      </c>
    </row>
    <row r="561" spans="1:467" hidden="1" x14ac:dyDescent="0.4">
      <c r="A561" t="str">
        <f>"9784838755707"</f>
        <v>9784838755707</v>
      </c>
      <c r="B561" t="str">
        <f>"4838755708"</f>
        <v>4838755708</v>
      </c>
      <c r="C561" t="s">
        <v>2941</v>
      </c>
      <c r="E561" t="s">
        <v>982</v>
      </c>
      <c r="F561" t="s">
        <v>2561</v>
      </c>
      <c r="G561" t="str">
        <f>"9476"</f>
        <v>9476</v>
      </c>
      <c r="H561" t="s">
        <v>1855</v>
      </c>
      <c r="I561" t="s">
        <v>1884</v>
      </c>
      <c r="J561" t="s">
        <v>552</v>
      </c>
      <c r="L561" s="1">
        <v>44816</v>
      </c>
      <c r="M561">
        <v>1600</v>
      </c>
      <c r="N561">
        <v>6</v>
      </c>
      <c r="O561">
        <v>5</v>
      </c>
      <c r="P561">
        <v>6</v>
      </c>
      <c r="Q561">
        <v>5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1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1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0</v>
      </c>
      <c r="HI561">
        <v>0</v>
      </c>
      <c r="HJ561">
        <v>0</v>
      </c>
      <c r="HK561">
        <v>1</v>
      </c>
      <c r="HL561">
        <v>0</v>
      </c>
      <c r="HM561">
        <v>0</v>
      </c>
      <c r="HN561">
        <v>0</v>
      </c>
      <c r="HO561">
        <v>0</v>
      </c>
      <c r="HP561">
        <v>0</v>
      </c>
      <c r="HQ561">
        <v>0</v>
      </c>
      <c r="HR561">
        <v>0</v>
      </c>
      <c r="HS561">
        <v>0</v>
      </c>
      <c r="HT561">
        <v>0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1</v>
      </c>
      <c r="IZ561">
        <v>0</v>
      </c>
      <c r="JA561">
        <v>0</v>
      </c>
      <c r="JB561">
        <v>0</v>
      </c>
      <c r="JC561">
        <v>0</v>
      </c>
      <c r="JD561">
        <v>0</v>
      </c>
      <c r="JE561">
        <v>0</v>
      </c>
      <c r="JF561">
        <v>2</v>
      </c>
      <c r="JG561">
        <v>0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0</v>
      </c>
      <c r="MN561">
        <v>0</v>
      </c>
      <c r="MO561">
        <v>0</v>
      </c>
      <c r="MP561">
        <v>0</v>
      </c>
      <c r="MQ561">
        <v>0</v>
      </c>
      <c r="MR561">
        <v>0</v>
      </c>
      <c r="MS561">
        <v>0</v>
      </c>
      <c r="MT561">
        <v>0</v>
      </c>
      <c r="MU561">
        <v>0</v>
      </c>
      <c r="MV561">
        <v>0</v>
      </c>
      <c r="MW561">
        <v>0</v>
      </c>
      <c r="MX561">
        <v>0</v>
      </c>
      <c r="MY561">
        <v>0</v>
      </c>
      <c r="MZ561">
        <v>0</v>
      </c>
      <c r="NA561">
        <v>0</v>
      </c>
      <c r="NB561">
        <v>0</v>
      </c>
      <c r="NC561">
        <v>0</v>
      </c>
      <c r="ND561">
        <v>0</v>
      </c>
      <c r="NE561">
        <v>0</v>
      </c>
      <c r="NF561">
        <v>0</v>
      </c>
      <c r="NG561">
        <v>0</v>
      </c>
      <c r="NH561">
        <v>0</v>
      </c>
      <c r="NI561">
        <v>0</v>
      </c>
      <c r="NJ561">
        <v>0</v>
      </c>
      <c r="NK561">
        <v>0</v>
      </c>
      <c r="NL561">
        <v>0</v>
      </c>
      <c r="NM561">
        <v>0</v>
      </c>
      <c r="NN561">
        <v>0</v>
      </c>
      <c r="NO561">
        <v>0</v>
      </c>
      <c r="NP561">
        <v>0</v>
      </c>
      <c r="NQ561">
        <v>0</v>
      </c>
      <c r="NR561">
        <v>0</v>
      </c>
      <c r="NS561">
        <v>0</v>
      </c>
      <c r="NT561">
        <v>0</v>
      </c>
      <c r="NU561">
        <v>0</v>
      </c>
      <c r="NV561">
        <v>0</v>
      </c>
      <c r="NW561">
        <v>0</v>
      </c>
      <c r="NX561">
        <v>0</v>
      </c>
      <c r="NY561">
        <v>0</v>
      </c>
      <c r="NZ561">
        <v>0</v>
      </c>
      <c r="OA561">
        <v>0</v>
      </c>
      <c r="OB561">
        <v>0</v>
      </c>
      <c r="OC561">
        <v>0</v>
      </c>
      <c r="OD561">
        <v>0</v>
      </c>
      <c r="OE561">
        <v>0</v>
      </c>
      <c r="OF561">
        <v>0</v>
      </c>
      <c r="OG561">
        <v>0</v>
      </c>
      <c r="OH561">
        <v>0</v>
      </c>
      <c r="OI561">
        <v>0</v>
      </c>
      <c r="OJ561">
        <v>0</v>
      </c>
      <c r="OK561">
        <v>0</v>
      </c>
      <c r="OL561">
        <v>0</v>
      </c>
      <c r="OM561">
        <v>0</v>
      </c>
      <c r="ON561">
        <v>0</v>
      </c>
      <c r="OO561">
        <v>0</v>
      </c>
      <c r="OP561">
        <v>0</v>
      </c>
      <c r="OQ561">
        <v>0</v>
      </c>
      <c r="OR561">
        <v>0</v>
      </c>
      <c r="OS561">
        <v>0</v>
      </c>
      <c r="OT561">
        <v>0</v>
      </c>
      <c r="OU561">
        <v>0</v>
      </c>
      <c r="OV561">
        <v>0</v>
      </c>
      <c r="OW561">
        <v>0</v>
      </c>
      <c r="OX561">
        <v>0</v>
      </c>
      <c r="OY561">
        <v>0</v>
      </c>
      <c r="OZ561">
        <v>0</v>
      </c>
      <c r="PA561">
        <v>0</v>
      </c>
      <c r="PB561">
        <v>0</v>
      </c>
      <c r="PC561">
        <v>0</v>
      </c>
      <c r="PD561">
        <v>0</v>
      </c>
      <c r="PE561">
        <v>0</v>
      </c>
      <c r="PF561">
        <v>0</v>
      </c>
      <c r="PG561">
        <v>0</v>
      </c>
      <c r="PH561">
        <v>0</v>
      </c>
      <c r="PI561">
        <v>0</v>
      </c>
      <c r="PJ561">
        <v>0</v>
      </c>
      <c r="PK561">
        <v>0</v>
      </c>
      <c r="PL561">
        <v>0</v>
      </c>
      <c r="PM561">
        <v>0</v>
      </c>
      <c r="PN561">
        <v>0</v>
      </c>
      <c r="PO561">
        <v>0</v>
      </c>
      <c r="PP561">
        <v>0</v>
      </c>
      <c r="PQ561">
        <v>0</v>
      </c>
      <c r="PR561">
        <v>0</v>
      </c>
      <c r="PS561">
        <v>0</v>
      </c>
      <c r="PT561">
        <v>0</v>
      </c>
      <c r="PU561">
        <v>0</v>
      </c>
      <c r="PV561">
        <v>0</v>
      </c>
      <c r="PW561">
        <v>0</v>
      </c>
      <c r="PX561">
        <v>0</v>
      </c>
      <c r="PY561">
        <v>0</v>
      </c>
      <c r="PZ561">
        <v>0</v>
      </c>
      <c r="QA561">
        <v>0</v>
      </c>
      <c r="QB561">
        <v>0</v>
      </c>
      <c r="QC561">
        <v>0</v>
      </c>
      <c r="QD561">
        <v>0</v>
      </c>
      <c r="QE561">
        <v>0</v>
      </c>
      <c r="QF561">
        <v>0</v>
      </c>
      <c r="QG561">
        <v>0</v>
      </c>
      <c r="QH561">
        <v>0</v>
      </c>
      <c r="QI561">
        <v>0</v>
      </c>
      <c r="QJ561">
        <v>0</v>
      </c>
      <c r="QK561">
        <v>0</v>
      </c>
      <c r="QL561">
        <v>0</v>
      </c>
      <c r="QM561">
        <v>0</v>
      </c>
      <c r="QN561">
        <v>0</v>
      </c>
      <c r="QO561">
        <v>0</v>
      </c>
      <c r="QP561">
        <v>0</v>
      </c>
      <c r="QQ561">
        <v>0</v>
      </c>
      <c r="QR561">
        <v>0</v>
      </c>
      <c r="QS561">
        <v>0</v>
      </c>
      <c r="QT561">
        <v>0</v>
      </c>
      <c r="QU561">
        <v>0</v>
      </c>
      <c r="QV561">
        <v>0</v>
      </c>
      <c r="QW561">
        <v>0</v>
      </c>
      <c r="QX561">
        <v>0</v>
      </c>
      <c r="QY561">
        <v>0</v>
      </c>
    </row>
    <row r="562" spans="1:467" x14ac:dyDescent="0.4">
      <c r="A562" t="str">
        <f>"9784575857986"</f>
        <v>9784575857986</v>
      </c>
      <c r="B562" t="str">
        <f>"457585798X"</f>
        <v>457585798X</v>
      </c>
      <c r="C562" t="s">
        <v>2942</v>
      </c>
      <c r="D562" t="s">
        <v>2943</v>
      </c>
      <c r="E562" t="s">
        <v>807</v>
      </c>
      <c r="F562" t="s">
        <v>2944</v>
      </c>
      <c r="G562" t="str">
        <f>"9979"</f>
        <v>9979</v>
      </c>
      <c r="H562" t="s">
        <v>1855</v>
      </c>
      <c r="I562" t="s">
        <v>1856</v>
      </c>
      <c r="J562" t="s">
        <v>1856</v>
      </c>
      <c r="L562" s="1">
        <v>44922</v>
      </c>
      <c r="M562">
        <v>640</v>
      </c>
      <c r="N562">
        <v>6</v>
      </c>
      <c r="O562">
        <v>6</v>
      </c>
      <c r="P562">
        <v>6</v>
      </c>
      <c r="Q562">
        <v>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1</v>
      </c>
      <c r="AW562">
        <v>1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1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1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1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0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0</v>
      </c>
      <c r="MN562">
        <v>0</v>
      </c>
      <c r="MO562">
        <v>0</v>
      </c>
      <c r="MP562">
        <v>0</v>
      </c>
      <c r="MQ562">
        <v>0</v>
      </c>
      <c r="MR562">
        <v>0</v>
      </c>
      <c r="MS562">
        <v>0</v>
      </c>
      <c r="MT562">
        <v>0</v>
      </c>
      <c r="MU562">
        <v>0</v>
      </c>
      <c r="MV562">
        <v>0</v>
      </c>
      <c r="MW562">
        <v>0</v>
      </c>
      <c r="MX562">
        <v>0</v>
      </c>
      <c r="MY562">
        <v>0</v>
      </c>
      <c r="MZ562">
        <v>0</v>
      </c>
      <c r="NA562">
        <v>0</v>
      </c>
      <c r="NB562">
        <v>0</v>
      </c>
      <c r="NC562">
        <v>0</v>
      </c>
      <c r="ND562">
        <v>0</v>
      </c>
      <c r="NE562">
        <v>0</v>
      </c>
      <c r="NF562">
        <v>0</v>
      </c>
      <c r="NG562">
        <v>0</v>
      </c>
      <c r="NH562">
        <v>0</v>
      </c>
      <c r="NI562">
        <v>0</v>
      </c>
      <c r="NJ562">
        <v>0</v>
      </c>
      <c r="NK562">
        <v>0</v>
      </c>
      <c r="NL562">
        <v>0</v>
      </c>
      <c r="NM562">
        <v>0</v>
      </c>
      <c r="NN562">
        <v>0</v>
      </c>
      <c r="NO562">
        <v>0</v>
      </c>
      <c r="NP562">
        <v>0</v>
      </c>
      <c r="NQ562">
        <v>0</v>
      </c>
      <c r="NR562">
        <v>0</v>
      </c>
      <c r="NS562">
        <v>0</v>
      </c>
      <c r="NT562">
        <v>0</v>
      </c>
      <c r="NU562">
        <v>0</v>
      </c>
      <c r="NV562">
        <v>0</v>
      </c>
      <c r="NW562">
        <v>0</v>
      </c>
      <c r="NX562">
        <v>0</v>
      </c>
      <c r="NY562">
        <v>0</v>
      </c>
      <c r="NZ562">
        <v>0</v>
      </c>
      <c r="OA562">
        <v>0</v>
      </c>
      <c r="OB562">
        <v>1</v>
      </c>
      <c r="OC562">
        <v>0</v>
      </c>
      <c r="OD562">
        <v>0</v>
      </c>
      <c r="OE562">
        <v>0</v>
      </c>
      <c r="OF562">
        <v>0</v>
      </c>
      <c r="OG562">
        <v>0</v>
      </c>
      <c r="OH562">
        <v>0</v>
      </c>
      <c r="OI562">
        <v>0</v>
      </c>
      <c r="OJ562">
        <v>0</v>
      </c>
      <c r="OK562">
        <v>0</v>
      </c>
      <c r="OL562">
        <v>0</v>
      </c>
      <c r="OM562">
        <v>0</v>
      </c>
      <c r="ON562">
        <v>0</v>
      </c>
      <c r="OO562">
        <v>0</v>
      </c>
      <c r="OP562">
        <v>0</v>
      </c>
      <c r="OQ562">
        <v>0</v>
      </c>
      <c r="OR562">
        <v>0</v>
      </c>
      <c r="OS562">
        <v>0</v>
      </c>
      <c r="OT562">
        <v>0</v>
      </c>
      <c r="OU562">
        <v>0</v>
      </c>
      <c r="OV562">
        <v>0</v>
      </c>
      <c r="OW562">
        <v>0</v>
      </c>
      <c r="OX562">
        <v>0</v>
      </c>
      <c r="OY562">
        <v>0</v>
      </c>
      <c r="OZ562">
        <v>0</v>
      </c>
      <c r="PA562">
        <v>0</v>
      </c>
      <c r="PB562">
        <v>0</v>
      </c>
      <c r="PC562">
        <v>0</v>
      </c>
      <c r="PD562">
        <v>0</v>
      </c>
      <c r="PE562">
        <v>0</v>
      </c>
      <c r="PF562">
        <v>0</v>
      </c>
      <c r="PG562">
        <v>0</v>
      </c>
      <c r="PH562">
        <v>0</v>
      </c>
      <c r="PI562">
        <v>0</v>
      </c>
      <c r="PJ562">
        <v>0</v>
      </c>
      <c r="PK562">
        <v>0</v>
      </c>
      <c r="PL562">
        <v>0</v>
      </c>
      <c r="PM562">
        <v>0</v>
      </c>
      <c r="PN562">
        <v>0</v>
      </c>
      <c r="PO562">
        <v>0</v>
      </c>
      <c r="PP562">
        <v>0</v>
      </c>
      <c r="PQ562">
        <v>0</v>
      </c>
      <c r="PR562">
        <v>0</v>
      </c>
      <c r="PS562">
        <v>0</v>
      </c>
      <c r="PT562">
        <v>0</v>
      </c>
      <c r="PU562">
        <v>0</v>
      </c>
      <c r="PV562">
        <v>0</v>
      </c>
      <c r="PW562">
        <v>0</v>
      </c>
      <c r="PX562">
        <v>0</v>
      </c>
      <c r="PY562">
        <v>0</v>
      </c>
      <c r="PZ562">
        <v>0</v>
      </c>
      <c r="QA562">
        <v>0</v>
      </c>
      <c r="QB562">
        <v>0</v>
      </c>
      <c r="QC562">
        <v>0</v>
      </c>
      <c r="QD562">
        <v>0</v>
      </c>
      <c r="QE562">
        <v>0</v>
      </c>
      <c r="QF562">
        <v>0</v>
      </c>
      <c r="QG562">
        <v>0</v>
      </c>
      <c r="QH562">
        <v>0</v>
      </c>
      <c r="QI562">
        <v>0</v>
      </c>
      <c r="QJ562">
        <v>0</v>
      </c>
      <c r="QK562">
        <v>0</v>
      </c>
      <c r="QL562">
        <v>0</v>
      </c>
      <c r="QM562">
        <v>0</v>
      </c>
      <c r="QN562">
        <v>0</v>
      </c>
      <c r="QO562">
        <v>0</v>
      </c>
      <c r="QP562">
        <v>0</v>
      </c>
      <c r="QQ562">
        <v>0</v>
      </c>
      <c r="QR562">
        <v>0</v>
      </c>
      <c r="QS562">
        <v>0</v>
      </c>
      <c r="QT562">
        <v>0</v>
      </c>
      <c r="QU562">
        <v>0</v>
      </c>
      <c r="QV562">
        <v>0</v>
      </c>
      <c r="QW562">
        <v>0</v>
      </c>
      <c r="QX562">
        <v>0</v>
      </c>
      <c r="QY562">
        <v>0</v>
      </c>
    </row>
    <row r="563" spans="1:467" hidden="1" x14ac:dyDescent="0.4">
      <c r="A563" t="str">
        <f>"9784594093853"</f>
        <v>9784594093853</v>
      </c>
      <c r="B563" t="str">
        <f>"459409385X"</f>
        <v>459409385X</v>
      </c>
      <c r="C563" t="s">
        <v>2945</v>
      </c>
      <c r="D563" t="s">
        <v>2946</v>
      </c>
      <c r="E563" t="s">
        <v>2947</v>
      </c>
      <c r="G563" t="str">
        <f>"0093"</f>
        <v>0093</v>
      </c>
      <c r="H563" t="s">
        <v>481</v>
      </c>
      <c r="I563" t="s">
        <v>1893</v>
      </c>
      <c r="J563" t="s">
        <v>488</v>
      </c>
      <c r="L563" s="1">
        <v>44918</v>
      </c>
      <c r="M563">
        <v>1500</v>
      </c>
      <c r="N563">
        <v>6</v>
      </c>
      <c r="O563">
        <v>5</v>
      </c>
      <c r="P563">
        <v>6</v>
      </c>
      <c r="Q563">
        <v>5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1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2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1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1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  <c r="MN563">
        <v>0</v>
      </c>
      <c r="MO563">
        <v>0</v>
      </c>
      <c r="MP563">
        <v>0</v>
      </c>
      <c r="MQ563">
        <v>0</v>
      </c>
      <c r="MR563">
        <v>0</v>
      </c>
      <c r="MS563">
        <v>0</v>
      </c>
      <c r="MT563">
        <v>0</v>
      </c>
      <c r="MU563">
        <v>0</v>
      </c>
      <c r="MV563">
        <v>0</v>
      </c>
      <c r="MW563">
        <v>0</v>
      </c>
      <c r="MX563">
        <v>0</v>
      </c>
      <c r="MY563">
        <v>0</v>
      </c>
      <c r="MZ563">
        <v>0</v>
      </c>
      <c r="NA563">
        <v>0</v>
      </c>
      <c r="NB563">
        <v>0</v>
      </c>
      <c r="NC563">
        <v>0</v>
      </c>
      <c r="ND563">
        <v>0</v>
      </c>
      <c r="NE563">
        <v>0</v>
      </c>
      <c r="NF563">
        <v>0</v>
      </c>
      <c r="NG563">
        <v>0</v>
      </c>
      <c r="NH563">
        <v>0</v>
      </c>
      <c r="NI563">
        <v>0</v>
      </c>
      <c r="NJ563">
        <v>0</v>
      </c>
      <c r="NK563">
        <v>0</v>
      </c>
      <c r="NL563">
        <v>0</v>
      </c>
      <c r="NM563">
        <v>0</v>
      </c>
      <c r="NN563">
        <v>0</v>
      </c>
      <c r="NO563">
        <v>0</v>
      </c>
      <c r="NP563">
        <v>0</v>
      </c>
      <c r="NQ563">
        <v>0</v>
      </c>
      <c r="NR563">
        <v>0</v>
      </c>
      <c r="NS563">
        <v>0</v>
      </c>
      <c r="NT563">
        <v>0</v>
      </c>
      <c r="NU563">
        <v>0</v>
      </c>
      <c r="NV563">
        <v>0</v>
      </c>
      <c r="NW563">
        <v>0</v>
      </c>
      <c r="NX563">
        <v>0</v>
      </c>
      <c r="NY563">
        <v>1</v>
      </c>
      <c r="NZ563">
        <v>0</v>
      </c>
      <c r="OA563">
        <v>0</v>
      </c>
      <c r="OB563">
        <v>0</v>
      </c>
      <c r="OC563">
        <v>0</v>
      </c>
      <c r="OD563">
        <v>0</v>
      </c>
      <c r="OE563">
        <v>0</v>
      </c>
      <c r="OF563">
        <v>0</v>
      </c>
      <c r="OG563">
        <v>0</v>
      </c>
      <c r="OH563">
        <v>0</v>
      </c>
      <c r="OI563">
        <v>0</v>
      </c>
      <c r="OJ563">
        <v>0</v>
      </c>
      <c r="OK563">
        <v>0</v>
      </c>
      <c r="OL563">
        <v>0</v>
      </c>
      <c r="OM563">
        <v>0</v>
      </c>
      <c r="ON563">
        <v>0</v>
      </c>
      <c r="OO563">
        <v>0</v>
      </c>
      <c r="OP563">
        <v>0</v>
      </c>
      <c r="OQ563">
        <v>0</v>
      </c>
      <c r="OR563">
        <v>0</v>
      </c>
      <c r="OS563">
        <v>0</v>
      </c>
      <c r="OT563">
        <v>0</v>
      </c>
      <c r="OU563">
        <v>0</v>
      </c>
      <c r="OV563">
        <v>0</v>
      </c>
      <c r="OW563">
        <v>0</v>
      </c>
      <c r="OX563">
        <v>0</v>
      </c>
      <c r="OY563">
        <v>0</v>
      </c>
      <c r="OZ563">
        <v>0</v>
      </c>
      <c r="PA563">
        <v>0</v>
      </c>
      <c r="PB563">
        <v>0</v>
      </c>
      <c r="PC563">
        <v>0</v>
      </c>
      <c r="PD563">
        <v>0</v>
      </c>
      <c r="PE563">
        <v>0</v>
      </c>
      <c r="PF563">
        <v>0</v>
      </c>
      <c r="PG563">
        <v>0</v>
      </c>
      <c r="PH563">
        <v>0</v>
      </c>
      <c r="PI563">
        <v>0</v>
      </c>
      <c r="PJ563">
        <v>0</v>
      </c>
      <c r="PK563">
        <v>0</v>
      </c>
      <c r="PL563">
        <v>0</v>
      </c>
      <c r="PM563">
        <v>0</v>
      </c>
      <c r="PN563">
        <v>0</v>
      </c>
      <c r="PO563">
        <v>0</v>
      </c>
      <c r="PP563">
        <v>0</v>
      </c>
      <c r="PQ563">
        <v>0</v>
      </c>
      <c r="PR563">
        <v>0</v>
      </c>
      <c r="PS563">
        <v>0</v>
      </c>
      <c r="PT563">
        <v>0</v>
      </c>
      <c r="PU563">
        <v>0</v>
      </c>
      <c r="PV563">
        <v>0</v>
      </c>
      <c r="PW563">
        <v>0</v>
      </c>
      <c r="PX563">
        <v>0</v>
      </c>
      <c r="PY563">
        <v>0</v>
      </c>
      <c r="PZ563">
        <v>0</v>
      </c>
      <c r="QA563">
        <v>0</v>
      </c>
      <c r="QB563">
        <v>0</v>
      </c>
      <c r="QC563">
        <v>0</v>
      </c>
      <c r="QD563">
        <v>0</v>
      </c>
      <c r="QE563">
        <v>0</v>
      </c>
      <c r="QF563">
        <v>0</v>
      </c>
      <c r="QG563">
        <v>0</v>
      </c>
      <c r="QH563">
        <v>0</v>
      </c>
      <c r="QI563">
        <v>0</v>
      </c>
      <c r="QJ563">
        <v>0</v>
      </c>
      <c r="QK563">
        <v>0</v>
      </c>
      <c r="QL563">
        <v>0</v>
      </c>
      <c r="QM563">
        <v>0</v>
      </c>
      <c r="QN563">
        <v>0</v>
      </c>
      <c r="QO563">
        <v>0</v>
      </c>
      <c r="QP563">
        <v>0</v>
      </c>
      <c r="QQ563">
        <v>0</v>
      </c>
      <c r="QR563">
        <v>0</v>
      </c>
      <c r="QS563">
        <v>0</v>
      </c>
      <c r="QT563">
        <v>0</v>
      </c>
      <c r="QU563">
        <v>0</v>
      </c>
      <c r="QV563">
        <v>0</v>
      </c>
      <c r="QW563">
        <v>0</v>
      </c>
      <c r="QX563">
        <v>0</v>
      </c>
      <c r="QY563">
        <v>0</v>
      </c>
    </row>
    <row r="564" spans="1:467" hidden="1" x14ac:dyDescent="0.4">
      <c r="A564" t="str">
        <f>"9784794973412"</f>
        <v>9784794973412</v>
      </c>
      <c r="B564" t="str">
        <f>"4794973411"</f>
        <v>4794973411</v>
      </c>
      <c r="C564" t="s">
        <v>2948</v>
      </c>
      <c r="D564" t="s">
        <v>2949</v>
      </c>
      <c r="E564" t="s">
        <v>2040</v>
      </c>
      <c r="G564" t="str">
        <f>"0095"</f>
        <v>0095</v>
      </c>
      <c r="H564" t="s">
        <v>481</v>
      </c>
      <c r="I564" t="s">
        <v>1893</v>
      </c>
      <c r="J564" t="s">
        <v>509</v>
      </c>
      <c r="L564" s="1">
        <v>44908</v>
      </c>
      <c r="M564">
        <v>1600</v>
      </c>
      <c r="N564">
        <v>6</v>
      </c>
      <c r="O564">
        <v>6</v>
      </c>
      <c r="P564">
        <v>6</v>
      </c>
      <c r="Q564">
        <v>6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1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0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1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1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  <c r="MN564">
        <v>0</v>
      </c>
      <c r="MO564">
        <v>0</v>
      </c>
      <c r="MP564">
        <v>0</v>
      </c>
      <c r="MQ564">
        <v>0</v>
      </c>
      <c r="MR564">
        <v>0</v>
      </c>
      <c r="MS564">
        <v>0</v>
      </c>
      <c r="MT564">
        <v>0</v>
      </c>
      <c r="MU564">
        <v>0</v>
      </c>
      <c r="MV564">
        <v>0</v>
      </c>
      <c r="MW564">
        <v>0</v>
      </c>
      <c r="MX564">
        <v>0</v>
      </c>
      <c r="MY564">
        <v>0</v>
      </c>
      <c r="MZ564">
        <v>0</v>
      </c>
      <c r="NA564">
        <v>0</v>
      </c>
      <c r="NB564">
        <v>0</v>
      </c>
      <c r="NC564">
        <v>0</v>
      </c>
      <c r="ND564">
        <v>0</v>
      </c>
      <c r="NE564">
        <v>0</v>
      </c>
      <c r="NF564">
        <v>0</v>
      </c>
      <c r="NG564">
        <v>0</v>
      </c>
      <c r="NH564">
        <v>0</v>
      </c>
      <c r="NI564">
        <v>0</v>
      </c>
      <c r="NJ564">
        <v>0</v>
      </c>
      <c r="NK564">
        <v>0</v>
      </c>
      <c r="NL564">
        <v>0</v>
      </c>
      <c r="NM564">
        <v>0</v>
      </c>
      <c r="NN564">
        <v>0</v>
      </c>
      <c r="NO564">
        <v>0</v>
      </c>
      <c r="NP564">
        <v>0</v>
      </c>
      <c r="NQ564">
        <v>0</v>
      </c>
      <c r="NR564">
        <v>1</v>
      </c>
      <c r="NS564">
        <v>0</v>
      </c>
      <c r="NT564">
        <v>0</v>
      </c>
      <c r="NU564">
        <v>0</v>
      </c>
      <c r="NV564">
        <v>0</v>
      </c>
      <c r="NW564">
        <v>0</v>
      </c>
      <c r="NX564">
        <v>0</v>
      </c>
      <c r="NY564">
        <v>0</v>
      </c>
      <c r="NZ564">
        <v>0</v>
      </c>
      <c r="OA564">
        <v>0</v>
      </c>
      <c r="OB564">
        <v>0</v>
      </c>
      <c r="OC564">
        <v>0</v>
      </c>
      <c r="OD564">
        <v>0</v>
      </c>
      <c r="OE564">
        <v>0</v>
      </c>
      <c r="OF564">
        <v>0</v>
      </c>
      <c r="OG564">
        <v>0</v>
      </c>
      <c r="OH564">
        <v>0</v>
      </c>
      <c r="OI564">
        <v>0</v>
      </c>
      <c r="OJ564">
        <v>0</v>
      </c>
      <c r="OK564">
        <v>0</v>
      </c>
      <c r="OL564">
        <v>0</v>
      </c>
      <c r="OM564">
        <v>0</v>
      </c>
      <c r="ON564">
        <v>0</v>
      </c>
      <c r="OO564">
        <v>0</v>
      </c>
      <c r="OP564">
        <v>0</v>
      </c>
      <c r="OQ564">
        <v>0</v>
      </c>
      <c r="OR564">
        <v>0</v>
      </c>
      <c r="OS564">
        <v>0</v>
      </c>
      <c r="OT564">
        <v>0</v>
      </c>
      <c r="OU564">
        <v>0</v>
      </c>
      <c r="OV564">
        <v>0</v>
      </c>
      <c r="OW564">
        <v>0</v>
      </c>
      <c r="OX564">
        <v>0</v>
      </c>
      <c r="OY564">
        <v>0</v>
      </c>
      <c r="OZ564">
        <v>0</v>
      </c>
      <c r="PA564">
        <v>0</v>
      </c>
      <c r="PB564">
        <v>0</v>
      </c>
      <c r="PC564">
        <v>0</v>
      </c>
      <c r="PD564">
        <v>0</v>
      </c>
      <c r="PE564">
        <v>0</v>
      </c>
      <c r="PF564">
        <v>0</v>
      </c>
      <c r="PG564">
        <v>0</v>
      </c>
      <c r="PH564">
        <v>0</v>
      </c>
      <c r="PI564">
        <v>0</v>
      </c>
      <c r="PJ564">
        <v>0</v>
      </c>
      <c r="PK564">
        <v>0</v>
      </c>
      <c r="PL564">
        <v>0</v>
      </c>
      <c r="PM564">
        <v>0</v>
      </c>
      <c r="PN564">
        <v>0</v>
      </c>
      <c r="PO564">
        <v>0</v>
      </c>
      <c r="PP564">
        <v>0</v>
      </c>
      <c r="PQ564">
        <v>0</v>
      </c>
      <c r="PR564">
        <v>0</v>
      </c>
      <c r="PS564">
        <v>0</v>
      </c>
      <c r="PT564">
        <v>0</v>
      </c>
      <c r="PU564">
        <v>0</v>
      </c>
      <c r="PV564">
        <v>0</v>
      </c>
      <c r="PW564">
        <v>0</v>
      </c>
      <c r="PX564">
        <v>0</v>
      </c>
      <c r="PY564">
        <v>0</v>
      </c>
      <c r="PZ564">
        <v>0</v>
      </c>
      <c r="QA564">
        <v>0</v>
      </c>
      <c r="QB564">
        <v>0</v>
      </c>
      <c r="QC564">
        <v>0</v>
      </c>
      <c r="QD564">
        <v>0</v>
      </c>
      <c r="QE564">
        <v>0</v>
      </c>
      <c r="QF564">
        <v>0</v>
      </c>
      <c r="QG564">
        <v>0</v>
      </c>
      <c r="QH564">
        <v>0</v>
      </c>
      <c r="QI564">
        <v>0</v>
      </c>
      <c r="QJ564">
        <v>0</v>
      </c>
      <c r="QK564">
        <v>0</v>
      </c>
      <c r="QL564">
        <v>0</v>
      </c>
      <c r="QM564">
        <v>0</v>
      </c>
      <c r="QN564">
        <v>0</v>
      </c>
      <c r="QO564">
        <v>0</v>
      </c>
      <c r="QP564">
        <v>0</v>
      </c>
      <c r="QQ564">
        <v>0</v>
      </c>
      <c r="QR564">
        <v>0</v>
      </c>
      <c r="QS564">
        <v>0</v>
      </c>
      <c r="QT564">
        <v>0</v>
      </c>
      <c r="QU564">
        <v>0</v>
      </c>
      <c r="QV564">
        <v>0</v>
      </c>
      <c r="QW564">
        <v>0</v>
      </c>
      <c r="QX564">
        <v>0</v>
      </c>
      <c r="QY564">
        <v>0</v>
      </c>
    </row>
    <row r="565" spans="1:467" x14ac:dyDescent="0.4">
      <c r="A565" t="str">
        <f>"9784832274150"</f>
        <v>9784832274150</v>
      </c>
      <c r="B565" t="str">
        <f>"4832274155"</f>
        <v>4832274155</v>
      </c>
      <c r="C565" t="s">
        <v>2950</v>
      </c>
      <c r="D565" t="s">
        <v>2951</v>
      </c>
      <c r="E565" t="s">
        <v>2144</v>
      </c>
      <c r="F565" t="s">
        <v>2952</v>
      </c>
      <c r="G565" t="str">
        <f>"9979"</f>
        <v>9979</v>
      </c>
      <c r="H565" t="s">
        <v>1855</v>
      </c>
      <c r="I565" t="s">
        <v>1856</v>
      </c>
      <c r="J565" t="s">
        <v>1856</v>
      </c>
      <c r="L565" s="1">
        <v>44875</v>
      </c>
      <c r="M565">
        <v>660</v>
      </c>
      <c r="N565">
        <v>6</v>
      </c>
      <c r="O565">
        <v>6</v>
      </c>
      <c r="P565">
        <v>6</v>
      </c>
      <c r="Q565">
        <v>6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1</v>
      </c>
      <c r="BC565">
        <v>0</v>
      </c>
      <c r="BD565">
        <v>0</v>
      </c>
      <c r="BE565">
        <v>0</v>
      </c>
      <c r="BF565">
        <v>0</v>
      </c>
      <c r="BG565">
        <v>1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1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1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1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  <c r="MN565">
        <v>0</v>
      </c>
      <c r="MO565">
        <v>0</v>
      </c>
      <c r="MP565">
        <v>0</v>
      </c>
      <c r="MQ565">
        <v>0</v>
      </c>
      <c r="MR565">
        <v>0</v>
      </c>
      <c r="MS565">
        <v>0</v>
      </c>
      <c r="MT565">
        <v>0</v>
      </c>
      <c r="MU565">
        <v>0</v>
      </c>
      <c r="MV565">
        <v>0</v>
      </c>
      <c r="MW565">
        <v>0</v>
      </c>
      <c r="MX565">
        <v>0</v>
      </c>
      <c r="MY565">
        <v>0</v>
      </c>
      <c r="MZ565">
        <v>0</v>
      </c>
      <c r="NA565">
        <v>0</v>
      </c>
      <c r="NB565">
        <v>0</v>
      </c>
      <c r="NC565">
        <v>0</v>
      </c>
      <c r="ND565">
        <v>0</v>
      </c>
      <c r="NE565">
        <v>0</v>
      </c>
      <c r="NF565">
        <v>0</v>
      </c>
      <c r="NG565">
        <v>0</v>
      </c>
      <c r="NH565">
        <v>0</v>
      </c>
      <c r="NI565">
        <v>0</v>
      </c>
      <c r="NJ565">
        <v>0</v>
      </c>
      <c r="NK565">
        <v>0</v>
      </c>
      <c r="NL565">
        <v>0</v>
      </c>
      <c r="NM565">
        <v>0</v>
      </c>
      <c r="NN565">
        <v>0</v>
      </c>
      <c r="NO565">
        <v>0</v>
      </c>
      <c r="NP565">
        <v>0</v>
      </c>
      <c r="NQ565">
        <v>0</v>
      </c>
      <c r="NR565">
        <v>0</v>
      </c>
      <c r="NS565">
        <v>0</v>
      </c>
      <c r="NT565">
        <v>0</v>
      </c>
      <c r="NU565">
        <v>0</v>
      </c>
      <c r="NV565">
        <v>0</v>
      </c>
      <c r="NW565">
        <v>0</v>
      </c>
      <c r="NX565">
        <v>0</v>
      </c>
      <c r="NY565">
        <v>0</v>
      </c>
      <c r="NZ565">
        <v>0</v>
      </c>
      <c r="OA565">
        <v>0</v>
      </c>
      <c r="OB565">
        <v>0</v>
      </c>
      <c r="OC565">
        <v>0</v>
      </c>
      <c r="OD565">
        <v>0</v>
      </c>
      <c r="OE565">
        <v>0</v>
      </c>
      <c r="OF565">
        <v>0</v>
      </c>
      <c r="OG565">
        <v>0</v>
      </c>
      <c r="OH565">
        <v>0</v>
      </c>
      <c r="OI565">
        <v>0</v>
      </c>
      <c r="OJ565">
        <v>0</v>
      </c>
      <c r="OK565">
        <v>0</v>
      </c>
      <c r="OL565">
        <v>0</v>
      </c>
      <c r="OM565">
        <v>0</v>
      </c>
      <c r="ON565">
        <v>0</v>
      </c>
      <c r="OO565">
        <v>0</v>
      </c>
      <c r="OP565">
        <v>0</v>
      </c>
      <c r="OQ565">
        <v>0</v>
      </c>
      <c r="OR565">
        <v>0</v>
      </c>
      <c r="OS565">
        <v>0</v>
      </c>
      <c r="OT565">
        <v>0</v>
      </c>
      <c r="OU565">
        <v>0</v>
      </c>
      <c r="OV565">
        <v>0</v>
      </c>
      <c r="OW565">
        <v>0</v>
      </c>
      <c r="OX565">
        <v>0</v>
      </c>
      <c r="OY565">
        <v>0</v>
      </c>
      <c r="OZ565">
        <v>0</v>
      </c>
      <c r="PA565">
        <v>0</v>
      </c>
      <c r="PB565">
        <v>0</v>
      </c>
      <c r="PC565">
        <v>0</v>
      </c>
      <c r="PD565">
        <v>0</v>
      </c>
      <c r="PE565">
        <v>0</v>
      </c>
      <c r="PF565">
        <v>0</v>
      </c>
      <c r="PG565">
        <v>0</v>
      </c>
      <c r="PH565">
        <v>0</v>
      </c>
      <c r="PI565">
        <v>0</v>
      </c>
      <c r="PJ565">
        <v>0</v>
      </c>
      <c r="PK565">
        <v>0</v>
      </c>
      <c r="PL565">
        <v>0</v>
      </c>
      <c r="PM565">
        <v>0</v>
      </c>
      <c r="PN565">
        <v>0</v>
      </c>
      <c r="PO565">
        <v>0</v>
      </c>
      <c r="PP565">
        <v>0</v>
      </c>
      <c r="PQ565">
        <v>0</v>
      </c>
      <c r="PR565">
        <v>0</v>
      </c>
      <c r="PS565">
        <v>0</v>
      </c>
      <c r="PT565">
        <v>0</v>
      </c>
      <c r="PU565">
        <v>0</v>
      </c>
      <c r="PV565">
        <v>0</v>
      </c>
      <c r="PW565">
        <v>0</v>
      </c>
      <c r="PX565">
        <v>0</v>
      </c>
      <c r="PY565">
        <v>0</v>
      </c>
      <c r="PZ565">
        <v>0</v>
      </c>
      <c r="QA565">
        <v>0</v>
      </c>
      <c r="QB565">
        <v>0</v>
      </c>
      <c r="QC565">
        <v>0</v>
      </c>
      <c r="QD565">
        <v>0</v>
      </c>
      <c r="QE565">
        <v>0</v>
      </c>
      <c r="QF565">
        <v>0</v>
      </c>
      <c r="QG565">
        <v>0</v>
      </c>
      <c r="QH565">
        <v>0</v>
      </c>
      <c r="QI565">
        <v>0</v>
      </c>
      <c r="QJ565">
        <v>0</v>
      </c>
      <c r="QK565">
        <v>0</v>
      </c>
      <c r="QL565">
        <v>0</v>
      </c>
      <c r="QM565">
        <v>0</v>
      </c>
      <c r="QN565">
        <v>0</v>
      </c>
      <c r="QO565">
        <v>0</v>
      </c>
      <c r="QP565">
        <v>0</v>
      </c>
      <c r="QQ565">
        <v>0</v>
      </c>
      <c r="QR565">
        <v>0</v>
      </c>
      <c r="QS565">
        <v>0</v>
      </c>
      <c r="QT565">
        <v>0</v>
      </c>
      <c r="QU565">
        <v>0</v>
      </c>
      <c r="QV565">
        <v>0</v>
      </c>
      <c r="QW565">
        <v>0</v>
      </c>
      <c r="QX565">
        <v>0</v>
      </c>
      <c r="QY565">
        <v>0</v>
      </c>
    </row>
    <row r="566" spans="1:467" x14ac:dyDescent="0.4">
      <c r="A566" t="str">
        <f>"9784088831978"</f>
        <v>9784088831978</v>
      </c>
      <c r="B566" t="str">
        <f>"4088831977"</f>
        <v>4088831977</v>
      </c>
      <c r="C566" t="s">
        <v>2953</v>
      </c>
      <c r="D566" t="s">
        <v>2954</v>
      </c>
      <c r="E566" t="s">
        <v>536</v>
      </c>
      <c r="F566" t="s">
        <v>1854</v>
      </c>
      <c r="G566" t="str">
        <f>"9979"</f>
        <v>9979</v>
      </c>
      <c r="H566" t="s">
        <v>1855</v>
      </c>
      <c r="I566" t="s">
        <v>1856</v>
      </c>
      <c r="J566" t="s">
        <v>1856</v>
      </c>
      <c r="L566" s="1">
        <v>44777</v>
      </c>
      <c r="M566">
        <v>460</v>
      </c>
      <c r="N566">
        <v>6</v>
      </c>
      <c r="O566">
        <v>6</v>
      </c>
      <c r="P566">
        <v>6</v>
      </c>
      <c r="Q566">
        <v>6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1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1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1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1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  <c r="MN566">
        <v>0</v>
      </c>
      <c r="MO566">
        <v>0</v>
      </c>
      <c r="MP566">
        <v>0</v>
      </c>
      <c r="MQ566">
        <v>0</v>
      </c>
      <c r="MR566">
        <v>0</v>
      </c>
      <c r="MS566">
        <v>0</v>
      </c>
      <c r="MT566">
        <v>0</v>
      </c>
      <c r="MU566">
        <v>0</v>
      </c>
      <c r="MV566">
        <v>0</v>
      </c>
      <c r="MW566">
        <v>0</v>
      </c>
      <c r="MX566">
        <v>0</v>
      </c>
      <c r="MY566">
        <v>0</v>
      </c>
      <c r="MZ566">
        <v>0</v>
      </c>
      <c r="NA566">
        <v>0</v>
      </c>
      <c r="NB566">
        <v>0</v>
      </c>
      <c r="NC566">
        <v>0</v>
      </c>
      <c r="ND566">
        <v>0</v>
      </c>
      <c r="NE566">
        <v>0</v>
      </c>
      <c r="NF566">
        <v>0</v>
      </c>
      <c r="NG566">
        <v>0</v>
      </c>
      <c r="NH566">
        <v>0</v>
      </c>
      <c r="NI566">
        <v>0</v>
      </c>
      <c r="NJ566">
        <v>0</v>
      </c>
      <c r="NK566">
        <v>0</v>
      </c>
      <c r="NL566">
        <v>0</v>
      </c>
      <c r="NM566">
        <v>0</v>
      </c>
      <c r="NN566">
        <v>0</v>
      </c>
      <c r="NO566">
        <v>0</v>
      </c>
      <c r="NP566">
        <v>0</v>
      </c>
      <c r="NQ566">
        <v>0</v>
      </c>
      <c r="NR566">
        <v>0</v>
      </c>
      <c r="NS566">
        <v>0</v>
      </c>
      <c r="NT566">
        <v>0</v>
      </c>
      <c r="NU566">
        <v>0</v>
      </c>
      <c r="NV566">
        <v>0</v>
      </c>
      <c r="NW566">
        <v>0</v>
      </c>
      <c r="NX566">
        <v>0</v>
      </c>
      <c r="NY566">
        <v>0</v>
      </c>
      <c r="NZ566">
        <v>0</v>
      </c>
      <c r="OA566">
        <v>0</v>
      </c>
      <c r="OB566">
        <v>0</v>
      </c>
      <c r="OC566">
        <v>0</v>
      </c>
      <c r="OD566">
        <v>0</v>
      </c>
      <c r="OE566">
        <v>1</v>
      </c>
      <c r="OF566">
        <v>0</v>
      </c>
      <c r="OG566">
        <v>0</v>
      </c>
      <c r="OH566">
        <v>0</v>
      </c>
      <c r="OI566">
        <v>0</v>
      </c>
      <c r="OJ566">
        <v>0</v>
      </c>
      <c r="OK566">
        <v>0</v>
      </c>
      <c r="OL566">
        <v>0</v>
      </c>
      <c r="OM566">
        <v>0</v>
      </c>
      <c r="ON566">
        <v>0</v>
      </c>
      <c r="OO566">
        <v>0</v>
      </c>
      <c r="OP566">
        <v>0</v>
      </c>
      <c r="OQ566">
        <v>0</v>
      </c>
      <c r="OR566">
        <v>0</v>
      </c>
      <c r="OS566">
        <v>0</v>
      </c>
      <c r="OT566">
        <v>0</v>
      </c>
      <c r="OU566">
        <v>0</v>
      </c>
      <c r="OV566">
        <v>0</v>
      </c>
      <c r="OW566">
        <v>0</v>
      </c>
      <c r="OX566">
        <v>0</v>
      </c>
      <c r="OY566">
        <v>0</v>
      </c>
      <c r="OZ566">
        <v>0</v>
      </c>
      <c r="PA566">
        <v>0</v>
      </c>
      <c r="PB566">
        <v>0</v>
      </c>
      <c r="PC566">
        <v>0</v>
      </c>
      <c r="PD566">
        <v>0</v>
      </c>
      <c r="PE566">
        <v>0</v>
      </c>
      <c r="PF566">
        <v>0</v>
      </c>
      <c r="PG566">
        <v>0</v>
      </c>
      <c r="PH566">
        <v>0</v>
      </c>
      <c r="PI566">
        <v>0</v>
      </c>
      <c r="PJ566">
        <v>0</v>
      </c>
      <c r="PK566">
        <v>0</v>
      </c>
      <c r="PL566">
        <v>0</v>
      </c>
      <c r="PM566">
        <v>0</v>
      </c>
      <c r="PN566">
        <v>0</v>
      </c>
      <c r="PO566">
        <v>0</v>
      </c>
      <c r="PP566">
        <v>0</v>
      </c>
      <c r="PQ566">
        <v>0</v>
      </c>
      <c r="PR566">
        <v>0</v>
      </c>
      <c r="PS566">
        <v>0</v>
      </c>
      <c r="PT566">
        <v>0</v>
      </c>
      <c r="PU566">
        <v>0</v>
      </c>
      <c r="PV566">
        <v>0</v>
      </c>
      <c r="PW566">
        <v>0</v>
      </c>
      <c r="PX566">
        <v>0</v>
      </c>
      <c r="PY566">
        <v>0</v>
      </c>
      <c r="PZ566">
        <v>0</v>
      </c>
      <c r="QA566">
        <v>0</v>
      </c>
      <c r="QB566">
        <v>0</v>
      </c>
      <c r="QC566">
        <v>0</v>
      </c>
      <c r="QD566">
        <v>0</v>
      </c>
      <c r="QE566">
        <v>0</v>
      </c>
      <c r="QF566">
        <v>0</v>
      </c>
      <c r="QG566">
        <v>0</v>
      </c>
      <c r="QH566">
        <v>0</v>
      </c>
      <c r="QI566">
        <v>0</v>
      </c>
      <c r="QJ566">
        <v>0</v>
      </c>
      <c r="QK566">
        <v>0</v>
      </c>
      <c r="QL566">
        <v>0</v>
      </c>
      <c r="QM566">
        <v>0</v>
      </c>
      <c r="QN566">
        <v>0</v>
      </c>
      <c r="QO566">
        <v>1</v>
      </c>
      <c r="QP566">
        <v>0</v>
      </c>
      <c r="QQ566">
        <v>0</v>
      </c>
      <c r="QR566">
        <v>0</v>
      </c>
      <c r="QS566">
        <v>0</v>
      </c>
      <c r="QT566">
        <v>0</v>
      </c>
      <c r="QU566">
        <v>0</v>
      </c>
      <c r="QV566">
        <v>0</v>
      </c>
      <c r="QW566">
        <v>0</v>
      </c>
      <c r="QX566">
        <v>0</v>
      </c>
      <c r="QY566">
        <v>0</v>
      </c>
    </row>
    <row r="567" spans="1:467" hidden="1" x14ac:dyDescent="0.4">
      <c r="A567" t="str">
        <f>"9784813804215"</f>
        <v>9784813804215</v>
      </c>
      <c r="B567" t="str">
        <f>"4813804217"</f>
        <v>4813804217</v>
      </c>
      <c r="C567" t="s">
        <v>2955</v>
      </c>
      <c r="D567" t="s">
        <v>2956</v>
      </c>
      <c r="E567" t="s">
        <v>2957</v>
      </c>
      <c r="F567" t="s">
        <v>2958</v>
      </c>
      <c r="G567" t="str">
        <f>"0095"</f>
        <v>0095</v>
      </c>
      <c r="H567" t="s">
        <v>481</v>
      </c>
      <c r="I567" t="s">
        <v>1893</v>
      </c>
      <c r="J567" t="s">
        <v>509</v>
      </c>
      <c r="L567" s="1">
        <v>44897</v>
      </c>
      <c r="M567">
        <v>1600</v>
      </c>
      <c r="N567">
        <v>6</v>
      </c>
      <c r="O567">
        <v>6</v>
      </c>
      <c r="P567">
        <v>6</v>
      </c>
      <c r="Q567">
        <v>6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1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1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1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1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1</v>
      </c>
      <c r="IZ567">
        <v>0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0</v>
      </c>
      <c r="MM567">
        <v>0</v>
      </c>
      <c r="MN567">
        <v>0</v>
      </c>
      <c r="MO567">
        <v>0</v>
      </c>
      <c r="MP567">
        <v>0</v>
      </c>
      <c r="MQ567">
        <v>0</v>
      </c>
      <c r="MR567">
        <v>0</v>
      </c>
      <c r="MS567">
        <v>0</v>
      </c>
      <c r="MT567">
        <v>0</v>
      </c>
      <c r="MU567">
        <v>0</v>
      </c>
      <c r="MV567">
        <v>0</v>
      </c>
      <c r="MW567">
        <v>0</v>
      </c>
      <c r="MX567">
        <v>0</v>
      </c>
      <c r="MY567">
        <v>0</v>
      </c>
      <c r="MZ567">
        <v>0</v>
      </c>
      <c r="NA567">
        <v>0</v>
      </c>
      <c r="NB567">
        <v>0</v>
      </c>
      <c r="NC567">
        <v>1</v>
      </c>
      <c r="ND567">
        <v>0</v>
      </c>
      <c r="NE567">
        <v>0</v>
      </c>
      <c r="NF567">
        <v>0</v>
      </c>
      <c r="NG567">
        <v>0</v>
      </c>
      <c r="NH567">
        <v>0</v>
      </c>
      <c r="NI567">
        <v>0</v>
      </c>
      <c r="NJ567">
        <v>0</v>
      </c>
      <c r="NK567">
        <v>0</v>
      </c>
      <c r="NL567">
        <v>0</v>
      </c>
      <c r="NM567">
        <v>0</v>
      </c>
      <c r="NN567">
        <v>0</v>
      </c>
      <c r="NO567">
        <v>0</v>
      </c>
      <c r="NP567">
        <v>0</v>
      </c>
      <c r="NQ567">
        <v>0</v>
      </c>
      <c r="NR567">
        <v>0</v>
      </c>
      <c r="NS567">
        <v>0</v>
      </c>
      <c r="NT567">
        <v>0</v>
      </c>
      <c r="NU567">
        <v>0</v>
      </c>
      <c r="NV567">
        <v>0</v>
      </c>
      <c r="NW567">
        <v>0</v>
      </c>
      <c r="NX567">
        <v>0</v>
      </c>
      <c r="NY567">
        <v>0</v>
      </c>
      <c r="NZ567">
        <v>0</v>
      </c>
      <c r="OA567">
        <v>0</v>
      </c>
      <c r="OB567">
        <v>0</v>
      </c>
      <c r="OC567">
        <v>0</v>
      </c>
      <c r="OD567">
        <v>0</v>
      </c>
      <c r="OE567">
        <v>0</v>
      </c>
      <c r="OF567">
        <v>0</v>
      </c>
      <c r="OG567">
        <v>0</v>
      </c>
      <c r="OH567">
        <v>0</v>
      </c>
      <c r="OI567">
        <v>0</v>
      </c>
      <c r="OJ567">
        <v>0</v>
      </c>
      <c r="OK567">
        <v>0</v>
      </c>
      <c r="OL567">
        <v>0</v>
      </c>
      <c r="OM567">
        <v>0</v>
      </c>
      <c r="ON567">
        <v>0</v>
      </c>
      <c r="OO567">
        <v>0</v>
      </c>
      <c r="OP567">
        <v>0</v>
      </c>
      <c r="OQ567">
        <v>0</v>
      </c>
      <c r="OR567">
        <v>0</v>
      </c>
      <c r="OS567">
        <v>0</v>
      </c>
      <c r="OT567">
        <v>0</v>
      </c>
      <c r="OU567">
        <v>0</v>
      </c>
      <c r="OV567">
        <v>0</v>
      </c>
      <c r="OW567">
        <v>0</v>
      </c>
      <c r="OX567">
        <v>0</v>
      </c>
      <c r="OY567">
        <v>0</v>
      </c>
      <c r="OZ567">
        <v>0</v>
      </c>
      <c r="PA567">
        <v>0</v>
      </c>
      <c r="PB567">
        <v>0</v>
      </c>
      <c r="PC567">
        <v>0</v>
      </c>
      <c r="PD567">
        <v>0</v>
      </c>
      <c r="PE567">
        <v>0</v>
      </c>
      <c r="PF567">
        <v>0</v>
      </c>
      <c r="PG567">
        <v>0</v>
      </c>
      <c r="PH567">
        <v>0</v>
      </c>
      <c r="PI567">
        <v>0</v>
      </c>
      <c r="PJ567">
        <v>0</v>
      </c>
      <c r="PK567">
        <v>0</v>
      </c>
      <c r="PL567">
        <v>0</v>
      </c>
      <c r="PM567">
        <v>0</v>
      </c>
      <c r="PN567">
        <v>0</v>
      </c>
      <c r="PO567">
        <v>0</v>
      </c>
      <c r="PP567">
        <v>0</v>
      </c>
      <c r="PQ567">
        <v>0</v>
      </c>
      <c r="PR567">
        <v>0</v>
      </c>
      <c r="PS567">
        <v>0</v>
      </c>
      <c r="PT567">
        <v>0</v>
      </c>
      <c r="PU567">
        <v>0</v>
      </c>
      <c r="PV567">
        <v>0</v>
      </c>
      <c r="PW567">
        <v>0</v>
      </c>
      <c r="PX567">
        <v>0</v>
      </c>
      <c r="PY567">
        <v>0</v>
      </c>
      <c r="PZ567">
        <v>0</v>
      </c>
      <c r="QA567">
        <v>0</v>
      </c>
      <c r="QB567">
        <v>0</v>
      </c>
      <c r="QC567">
        <v>0</v>
      </c>
      <c r="QD567">
        <v>0</v>
      </c>
      <c r="QE567">
        <v>0</v>
      </c>
      <c r="QF567">
        <v>0</v>
      </c>
      <c r="QG567">
        <v>0</v>
      </c>
      <c r="QH567">
        <v>0</v>
      </c>
      <c r="QI567">
        <v>0</v>
      </c>
      <c r="QJ567">
        <v>0</v>
      </c>
      <c r="QK567">
        <v>0</v>
      </c>
      <c r="QL567">
        <v>0</v>
      </c>
      <c r="QM567">
        <v>0</v>
      </c>
      <c r="QN567">
        <v>0</v>
      </c>
      <c r="QO567">
        <v>0</v>
      </c>
      <c r="QP567">
        <v>0</v>
      </c>
      <c r="QQ567">
        <v>0</v>
      </c>
      <c r="QR567">
        <v>0</v>
      </c>
      <c r="QS567">
        <v>0</v>
      </c>
      <c r="QT567">
        <v>0</v>
      </c>
      <c r="QU567">
        <v>0</v>
      </c>
      <c r="QV567">
        <v>0</v>
      </c>
      <c r="QW567">
        <v>0</v>
      </c>
      <c r="QX567">
        <v>0</v>
      </c>
      <c r="QY567">
        <v>0</v>
      </c>
    </row>
    <row r="568" spans="1:467" hidden="1" x14ac:dyDescent="0.4">
      <c r="A568" t="str">
        <f>"9784622077695"</f>
        <v>9784622077695</v>
      </c>
      <c r="B568" t="str">
        <f>"4622077698"</f>
        <v>4622077698</v>
      </c>
      <c r="C568" t="s">
        <v>2959</v>
      </c>
      <c r="D568" t="s">
        <v>1099</v>
      </c>
      <c r="E568" t="s">
        <v>2455</v>
      </c>
      <c r="G568" t="str">
        <f>"0095"</f>
        <v>0095</v>
      </c>
      <c r="H568" t="s">
        <v>481</v>
      </c>
      <c r="I568" t="s">
        <v>1893</v>
      </c>
      <c r="J568" t="s">
        <v>509</v>
      </c>
      <c r="L568" s="1">
        <v>41418</v>
      </c>
      <c r="M568">
        <v>3000</v>
      </c>
      <c r="N568">
        <v>6</v>
      </c>
      <c r="O568">
        <v>5</v>
      </c>
      <c r="P568">
        <v>6</v>
      </c>
      <c r="Q568">
        <v>5</v>
      </c>
      <c r="R568">
        <v>0</v>
      </c>
      <c r="S568">
        <v>1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1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2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  <c r="MN568">
        <v>0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  <c r="NK568">
        <v>0</v>
      </c>
      <c r="NL568">
        <v>0</v>
      </c>
      <c r="NM568">
        <v>0</v>
      </c>
      <c r="NN568">
        <v>0</v>
      </c>
      <c r="NO568">
        <v>0</v>
      </c>
      <c r="NP568">
        <v>0</v>
      </c>
      <c r="NQ568">
        <v>0</v>
      </c>
      <c r="NR568">
        <v>0</v>
      </c>
      <c r="NS568">
        <v>0</v>
      </c>
      <c r="NT568">
        <v>0</v>
      </c>
      <c r="NU568">
        <v>0</v>
      </c>
      <c r="NV568">
        <v>0</v>
      </c>
      <c r="NW568">
        <v>0</v>
      </c>
      <c r="NX568">
        <v>0</v>
      </c>
      <c r="NY568">
        <v>1</v>
      </c>
      <c r="NZ568">
        <v>0</v>
      </c>
      <c r="OA568">
        <v>0</v>
      </c>
      <c r="OB568">
        <v>0</v>
      </c>
      <c r="OC568">
        <v>0</v>
      </c>
      <c r="OD568">
        <v>0</v>
      </c>
      <c r="OE568">
        <v>0</v>
      </c>
      <c r="OF568">
        <v>0</v>
      </c>
      <c r="OG568">
        <v>0</v>
      </c>
      <c r="OH568">
        <v>0</v>
      </c>
      <c r="OI568">
        <v>0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0</v>
      </c>
      <c r="OU568">
        <v>0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0</v>
      </c>
      <c r="PB568">
        <v>0</v>
      </c>
      <c r="PC568">
        <v>0</v>
      </c>
      <c r="PD568">
        <v>0</v>
      </c>
      <c r="PE568">
        <v>0</v>
      </c>
      <c r="PF568">
        <v>0</v>
      </c>
      <c r="PG568">
        <v>0</v>
      </c>
      <c r="PH568">
        <v>0</v>
      </c>
      <c r="PI568">
        <v>0</v>
      </c>
      <c r="PJ568">
        <v>0</v>
      </c>
      <c r="PK568">
        <v>0</v>
      </c>
      <c r="PL568">
        <v>0</v>
      </c>
      <c r="PM568">
        <v>0</v>
      </c>
      <c r="PN568">
        <v>0</v>
      </c>
      <c r="PO568">
        <v>0</v>
      </c>
      <c r="PP568">
        <v>0</v>
      </c>
      <c r="PQ568">
        <v>0</v>
      </c>
      <c r="PR568">
        <v>0</v>
      </c>
      <c r="PS568">
        <v>0</v>
      </c>
      <c r="PT568">
        <v>0</v>
      </c>
      <c r="PU568">
        <v>0</v>
      </c>
      <c r="PV568">
        <v>0</v>
      </c>
      <c r="PW568">
        <v>0</v>
      </c>
      <c r="PX568">
        <v>0</v>
      </c>
      <c r="PY568">
        <v>0</v>
      </c>
      <c r="PZ568">
        <v>0</v>
      </c>
      <c r="QA568">
        <v>0</v>
      </c>
      <c r="QB568">
        <v>0</v>
      </c>
      <c r="QC568">
        <v>0</v>
      </c>
      <c r="QD568">
        <v>0</v>
      </c>
      <c r="QE568">
        <v>0</v>
      </c>
      <c r="QF568">
        <v>0</v>
      </c>
      <c r="QG568">
        <v>0</v>
      </c>
      <c r="QH568">
        <v>0</v>
      </c>
      <c r="QI568">
        <v>0</v>
      </c>
      <c r="QJ568">
        <v>0</v>
      </c>
      <c r="QK568">
        <v>1</v>
      </c>
      <c r="QL568">
        <v>0</v>
      </c>
      <c r="QM568">
        <v>0</v>
      </c>
      <c r="QN568">
        <v>0</v>
      </c>
      <c r="QO568">
        <v>0</v>
      </c>
      <c r="QP568">
        <v>0</v>
      </c>
      <c r="QQ568">
        <v>0</v>
      </c>
      <c r="QR568">
        <v>0</v>
      </c>
      <c r="QS568">
        <v>0</v>
      </c>
      <c r="QT568">
        <v>0</v>
      </c>
      <c r="QU568">
        <v>0</v>
      </c>
      <c r="QV568">
        <v>0</v>
      </c>
      <c r="QW568">
        <v>0</v>
      </c>
      <c r="QX568">
        <v>0</v>
      </c>
      <c r="QY568">
        <v>0</v>
      </c>
    </row>
    <row r="569" spans="1:467" hidden="1" x14ac:dyDescent="0.4">
      <c r="A569" t="str">
        <f>"9784560094679"</f>
        <v>9784560094679</v>
      </c>
      <c r="B569" t="str">
        <f>"4560094675"</f>
        <v>4560094675</v>
      </c>
      <c r="C569" t="s">
        <v>2960</v>
      </c>
      <c r="D569" t="s">
        <v>2961</v>
      </c>
      <c r="E569" t="s">
        <v>839</v>
      </c>
      <c r="G569" t="str">
        <f>"0097"</f>
        <v>0097</v>
      </c>
      <c r="H569" t="s">
        <v>481</v>
      </c>
      <c r="I569" t="s">
        <v>1893</v>
      </c>
      <c r="J569" t="s">
        <v>564</v>
      </c>
      <c r="L569" s="1">
        <v>44932</v>
      </c>
      <c r="M569">
        <v>2800</v>
      </c>
      <c r="N569">
        <v>6</v>
      </c>
      <c r="O569">
        <v>5</v>
      </c>
      <c r="P569">
        <v>6</v>
      </c>
      <c r="Q569">
        <v>5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2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1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1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1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  <c r="MN569">
        <v>0</v>
      </c>
      <c r="MO569">
        <v>0</v>
      </c>
      <c r="MP569">
        <v>0</v>
      </c>
      <c r="MQ569">
        <v>0</v>
      </c>
      <c r="MR569">
        <v>0</v>
      </c>
      <c r="MS569">
        <v>0</v>
      </c>
      <c r="MT569">
        <v>0</v>
      </c>
      <c r="MU569">
        <v>0</v>
      </c>
      <c r="MV569">
        <v>0</v>
      </c>
      <c r="MW569">
        <v>0</v>
      </c>
      <c r="MX569">
        <v>0</v>
      </c>
      <c r="MY569">
        <v>0</v>
      </c>
      <c r="MZ569">
        <v>0</v>
      </c>
      <c r="NA569">
        <v>0</v>
      </c>
      <c r="NB569">
        <v>0</v>
      </c>
      <c r="NC569">
        <v>0</v>
      </c>
      <c r="ND569">
        <v>0</v>
      </c>
      <c r="NE569">
        <v>0</v>
      </c>
      <c r="NF569">
        <v>0</v>
      </c>
      <c r="NG569">
        <v>0</v>
      </c>
      <c r="NH569">
        <v>0</v>
      </c>
      <c r="NI569">
        <v>0</v>
      </c>
      <c r="NJ569">
        <v>0</v>
      </c>
      <c r="NK569">
        <v>0</v>
      </c>
      <c r="NL569">
        <v>0</v>
      </c>
      <c r="NM569">
        <v>0</v>
      </c>
      <c r="NN569">
        <v>0</v>
      </c>
      <c r="NO569">
        <v>0</v>
      </c>
      <c r="NP569">
        <v>0</v>
      </c>
      <c r="NQ569">
        <v>0</v>
      </c>
      <c r="NR569">
        <v>0</v>
      </c>
      <c r="NS569">
        <v>0</v>
      </c>
      <c r="NT569">
        <v>0</v>
      </c>
      <c r="NU569">
        <v>0</v>
      </c>
      <c r="NV569">
        <v>0</v>
      </c>
      <c r="NW569">
        <v>0</v>
      </c>
      <c r="NX569">
        <v>0</v>
      </c>
      <c r="NY569">
        <v>1</v>
      </c>
      <c r="NZ569">
        <v>0</v>
      </c>
      <c r="OA569">
        <v>0</v>
      </c>
      <c r="OB569">
        <v>0</v>
      </c>
      <c r="OC569">
        <v>0</v>
      </c>
      <c r="OD569">
        <v>0</v>
      </c>
      <c r="OE569">
        <v>0</v>
      </c>
      <c r="OF569">
        <v>0</v>
      </c>
      <c r="OG569">
        <v>0</v>
      </c>
      <c r="OH569">
        <v>0</v>
      </c>
      <c r="OI569">
        <v>0</v>
      </c>
      <c r="OJ569">
        <v>0</v>
      </c>
      <c r="OK569">
        <v>0</v>
      </c>
      <c r="OL569">
        <v>0</v>
      </c>
      <c r="OM569">
        <v>0</v>
      </c>
      <c r="ON569">
        <v>0</v>
      </c>
      <c r="OO569">
        <v>0</v>
      </c>
      <c r="OP569">
        <v>0</v>
      </c>
      <c r="OQ569">
        <v>0</v>
      </c>
      <c r="OR569">
        <v>0</v>
      </c>
      <c r="OS569">
        <v>0</v>
      </c>
      <c r="OT569">
        <v>0</v>
      </c>
      <c r="OU569">
        <v>0</v>
      </c>
      <c r="OV569">
        <v>0</v>
      </c>
      <c r="OW569">
        <v>0</v>
      </c>
      <c r="OX569">
        <v>0</v>
      </c>
      <c r="OY569">
        <v>0</v>
      </c>
      <c r="OZ569">
        <v>0</v>
      </c>
      <c r="PA569">
        <v>0</v>
      </c>
      <c r="PB569">
        <v>0</v>
      </c>
      <c r="PC569">
        <v>0</v>
      </c>
      <c r="PD569">
        <v>0</v>
      </c>
      <c r="PE569">
        <v>0</v>
      </c>
      <c r="PF569">
        <v>0</v>
      </c>
      <c r="PG569">
        <v>0</v>
      </c>
      <c r="PH569">
        <v>0</v>
      </c>
      <c r="PI569">
        <v>0</v>
      </c>
      <c r="PJ569">
        <v>0</v>
      </c>
      <c r="PK569">
        <v>0</v>
      </c>
      <c r="PL569">
        <v>0</v>
      </c>
      <c r="PM569">
        <v>0</v>
      </c>
      <c r="PN569">
        <v>0</v>
      </c>
      <c r="PO569">
        <v>0</v>
      </c>
      <c r="PP569">
        <v>0</v>
      </c>
      <c r="PQ569">
        <v>0</v>
      </c>
      <c r="PR569">
        <v>0</v>
      </c>
      <c r="PS569">
        <v>0</v>
      </c>
      <c r="PT569">
        <v>0</v>
      </c>
      <c r="PU569">
        <v>0</v>
      </c>
      <c r="PV569">
        <v>0</v>
      </c>
      <c r="PW569">
        <v>0</v>
      </c>
      <c r="PX569">
        <v>0</v>
      </c>
      <c r="PY569">
        <v>0</v>
      </c>
      <c r="PZ569">
        <v>0</v>
      </c>
      <c r="QA569">
        <v>0</v>
      </c>
      <c r="QB569">
        <v>0</v>
      </c>
      <c r="QC569">
        <v>0</v>
      </c>
      <c r="QD569">
        <v>0</v>
      </c>
      <c r="QE569">
        <v>0</v>
      </c>
      <c r="QF569">
        <v>0</v>
      </c>
      <c r="QG569">
        <v>0</v>
      </c>
      <c r="QH569">
        <v>0</v>
      </c>
      <c r="QI569">
        <v>0</v>
      </c>
      <c r="QJ569">
        <v>0</v>
      </c>
      <c r="QK569">
        <v>0</v>
      </c>
      <c r="QL569">
        <v>0</v>
      </c>
      <c r="QM569">
        <v>0</v>
      </c>
      <c r="QN569">
        <v>0</v>
      </c>
      <c r="QO569">
        <v>0</v>
      </c>
      <c r="QP569">
        <v>0</v>
      </c>
      <c r="QQ569">
        <v>0</v>
      </c>
      <c r="QR569">
        <v>0</v>
      </c>
      <c r="QS569">
        <v>0</v>
      </c>
      <c r="QT569">
        <v>0</v>
      </c>
      <c r="QU569">
        <v>0</v>
      </c>
      <c r="QV569">
        <v>0</v>
      </c>
      <c r="QW569">
        <v>0</v>
      </c>
      <c r="QX569">
        <v>0</v>
      </c>
      <c r="QY569">
        <v>0</v>
      </c>
    </row>
    <row r="570" spans="1:467" hidden="1" x14ac:dyDescent="0.4">
      <c r="A570" t="str">
        <f>"9784771036543"</f>
        <v>9784771036543</v>
      </c>
      <c r="B570" t="str">
        <f>"4771036543"</f>
        <v>4771036543</v>
      </c>
      <c r="C570" t="s">
        <v>2962</v>
      </c>
      <c r="D570" t="s">
        <v>2963</v>
      </c>
      <c r="E570" t="s">
        <v>2804</v>
      </c>
      <c r="G570" t="str">
        <f>"3098"</f>
        <v>3098</v>
      </c>
      <c r="H570" t="s">
        <v>761</v>
      </c>
      <c r="I570" t="s">
        <v>1893</v>
      </c>
      <c r="J570" t="s">
        <v>1894</v>
      </c>
      <c r="L570" s="1">
        <v>44909</v>
      </c>
      <c r="M570">
        <v>3200</v>
      </c>
      <c r="N570">
        <v>6</v>
      </c>
      <c r="O570">
        <v>6</v>
      </c>
      <c r="P570">
        <v>6</v>
      </c>
      <c r="Q570">
        <v>6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1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1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1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  <c r="MN570">
        <v>0</v>
      </c>
      <c r="MO570">
        <v>0</v>
      </c>
      <c r="MP570">
        <v>0</v>
      </c>
      <c r="MQ570">
        <v>0</v>
      </c>
      <c r="MR570">
        <v>0</v>
      </c>
      <c r="MS570">
        <v>0</v>
      </c>
      <c r="MT570">
        <v>0</v>
      </c>
      <c r="MU570">
        <v>0</v>
      </c>
      <c r="MV570">
        <v>0</v>
      </c>
      <c r="MW570">
        <v>0</v>
      </c>
      <c r="MX570">
        <v>0</v>
      </c>
      <c r="MY570">
        <v>0</v>
      </c>
      <c r="MZ570">
        <v>0</v>
      </c>
      <c r="NA570">
        <v>0</v>
      </c>
      <c r="NB570">
        <v>0</v>
      </c>
      <c r="NC570">
        <v>0</v>
      </c>
      <c r="ND570">
        <v>0</v>
      </c>
      <c r="NE570">
        <v>0</v>
      </c>
      <c r="NF570">
        <v>0</v>
      </c>
      <c r="NG570">
        <v>0</v>
      </c>
      <c r="NH570">
        <v>0</v>
      </c>
      <c r="NI570">
        <v>0</v>
      </c>
      <c r="NJ570">
        <v>0</v>
      </c>
      <c r="NK570">
        <v>0</v>
      </c>
      <c r="NL570">
        <v>0</v>
      </c>
      <c r="NM570">
        <v>0</v>
      </c>
      <c r="NN570">
        <v>0</v>
      </c>
      <c r="NO570">
        <v>0</v>
      </c>
      <c r="NP570">
        <v>0</v>
      </c>
      <c r="NQ570">
        <v>0</v>
      </c>
      <c r="NR570">
        <v>1</v>
      </c>
      <c r="NS570">
        <v>0</v>
      </c>
      <c r="NT570">
        <v>0</v>
      </c>
      <c r="NU570">
        <v>0</v>
      </c>
      <c r="NV570">
        <v>0</v>
      </c>
      <c r="NW570">
        <v>0</v>
      </c>
      <c r="NX570">
        <v>0</v>
      </c>
      <c r="NY570">
        <v>1</v>
      </c>
      <c r="NZ570">
        <v>0</v>
      </c>
      <c r="OA570">
        <v>0</v>
      </c>
      <c r="OB570">
        <v>0</v>
      </c>
      <c r="OC570">
        <v>0</v>
      </c>
      <c r="OD570">
        <v>0</v>
      </c>
      <c r="OE570">
        <v>0</v>
      </c>
      <c r="OF570">
        <v>0</v>
      </c>
      <c r="OG570">
        <v>0</v>
      </c>
      <c r="OH570">
        <v>0</v>
      </c>
      <c r="OI570">
        <v>0</v>
      </c>
      <c r="OJ570">
        <v>0</v>
      </c>
      <c r="OK570">
        <v>0</v>
      </c>
      <c r="OL570">
        <v>0</v>
      </c>
      <c r="OM570">
        <v>0</v>
      </c>
      <c r="ON570">
        <v>0</v>
      </c>
      <c r="OO570">
        <v>0</v>
      </c>
      <c r="OP570">
        <v>0</v>
      </c>
      <c r="OQ570">
        <v>0</v>
      </c>
      <c r="OR570">
        <v>0</v>
      </c>
      <c r="OS570">
        <v>0</v>
      </c>
      <c r="OT570">
        <v>0</v>
      </c>
      <c r="OU570">
        <v>0</v>
      </c>
      <c r="OV570">
        <v>0</v>
      </c>
      <c r="OW570">
        <v>0</v>
      </c>
      <c r="OX570">
        <v>0</v>
      </c>
      <c r="OY570">
        <v>0</v>
      </c>
      <c r="OZ570">
        <v>0</v>
      </c>
      <c r="PA570">
        <v>0</v>
      </c>
      <c r="PB570">
        <v>0</v>
      </c>
      <c r="PC570">
        <v>0</v>
      </c>
      <c r="PD570">
        <v>0</v>
      </c>
      <c r="PE570">
        <v>0</v>
      </c>
      <c r="PF570">
        <v>0</v>
      </c>
      <c r="PG570">
        <v>0</v>
      </c>
      <c r="PH570">
        <v>0</v>
      </c>
      <c r="PI570">
        <v>0</v>
      </c>
      <c r="PJ570">
        <v>0</v>
      </c>
      <c r="PK570">
        <v>0</v>
      </c>
      <c r="PL570">
        <v>0</v>
      </c>
      <c r="PM570">
        <v>0</v>
      </c>
      <c r="PN570">
        <v>0</v>
      </c>
      <c r="PO570">
        <v>0</v>
      </c>
      <c r="PP570">
        <v>0</v>
      </c>
      <c r="PQ570">
        <v>0</v>
      </c>
      <c r="PR570">
        <v>0</v>
      </c>
      <c r="PS570">
        <v>0</v>
      </c>
      <c r="PT570">
        <v>0</v>
      </c>
      <c r="PU570">
        <v>0</v>
      </c>
      <c r="PV570">
        <v>0</v>
      </c>
      <c r="PW570">
        <v>0</v>
      </c>
      <c r="PX570">
        <v>0</v>
      </c>
      <c r="PY570">
        <v>0</v>
      </c>
      <c r="PZ570">
        <v>0</v>
      </c>
      <c r="QA570">
        <v>0</v>
      </c>
      <c r="QB570">
        <v>0</v>
      </c>
      <c r="QC570">
        <v>0</v>
      </c>
      <c r="QD570">
        <v>0</v>
      </c>
      <c r="QE570">
        <v>0</v>
      </c>
      <c r="QF570">
        <v>0</v>
      </c>
      <c r="QG570">
        <v>0</v>
      </c>
      <c r="QH570">
        <v>0</v>
      </c>
      <c r="QI570">
        <v>0</v>
      </c>
      <c r="QJ570">
        <v>0</v>
      </c>
      <c r="QK570">
        <v>1</v>
      </c>
      <c r="QL570">
        <v>0</v>
      </c>
      <c r="QM570">
        <v>0</v>
      </c>
      <c r="QN570">
        <v>0</v>
      </c>
      <c r="QO570">
        <v>0</v>
      </c>
      <c r="QP570">
        <v>0</v>
      </c>
      <c r="QQ570">
        <v>0</v>
      </c>
      <c r="QR570">
        <v>0</v>
      </c>
      <c r="QS570">
        <v>0</v>
      </c>
      <c r="QT570">
        <v>0</v>
      </c>
      <c r="QU570">
        <v>0</v>
      </c>
      <c r="QV570">
        <v>0</v>
      </c>
      <c r="QW570">
        <v>0</v>
      </c>
      <c r="QX570">
        <v>0</v>
      </c>
      <c r="QY570">
        <v>0</v>
      </c>
    </row>
    <row r="571" spans="1:467" x14ac:dyDescent="0.4">
      <c r="A571" t="str">
        <f>"9784065303191"</f>
        <v>9784065303191</v>
      </c>
      <c r="B571" t="str">
        <f>"4065303192"</f>
        <v>4065303192</v>
      </c>
      <c r="C571" t="s">
        <v>2964</v>
      </c>
      <c r="D571" t="s">
        <v>1861</v>
      </c>
      <c r="E571" t="s">
        <v>548</v>
      </c>
      <c r="F571" t="s">
        <v>2034</v>
      </c>
      <c r="G571" t="str">
        <f>"9979"</f>
        <v>9979</v>
      </c>
      <c r="H571" t="s">
        <v>1855</v>
      </c>
      <c r="I571" t="s">
        <v>1856</v>
      </c>
      <c r="J571" t="s">
        <v>1856</v>
      </c>
      <c r="L571" s="1">
        <v>44943</v>
      </c>
      <c r="M571">
        <v>800</v>
      </c>
      <c r="N571">
        <v>6</v>
      </c>
      <c r="O571">
        <v>5</v>
      </c>
      <c r="P571">
        <v>6</v>
      </c>
      <c r="Q571">
        <v>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1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1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1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1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  <c r="MN571">
        <v>0</v>
      </c>
      <c r="MO571">
        <v>0</v>
      </c>
      <c r="MP571">
        <v>0</v>
      </c>
      <c r="MQ571">
        <v>0</v>
      </c>
      <c r="MR571">
        <v>0</v>
      </c>
      <c r="MS571">
        <v>0</v>
      </c>
      <c r="MT571">
        <v>0</v>
      </c>
      <c r="MU571">
        <v>0</v>
      </c>
      <c r="MV571">
        <v>0</v>
      </c>
      <c r="MW571">
        <v>0</v>
      </c>
      <c r="MX571">
        <v>0</v>
      </c>
      <c r="MY571">
        <v>0</v>
      </c>
      <c r="MZ571">
        <v>0</v>
      </c>
      <c r="NA571">
        <v>0</v>
      </c>
      <c r="NB571">
        <v>0</v>
      </c>
      <c r="NC571">
        <v>0</v>
      </c>
      <c r="ND571">
        <v>0</v>
      </c>
      <c r="NE571">
        <v>0</v>
      </c>
      <c r="NF571">
        <v>0</v>
      </c>
      <c r="NG571">
        <v>0</v>
      </c>
      <c r="NH571">
        <v>0</v>
      </c>
      <c r="NI571">
        <v>0</v>
      </c>
      <c r="NJ571">
        <v>0</v>
      </c>
      <c r="NK571">
        <v>0</v>
      </c>
      <c r="NL571">
        <v>0</v>
      </c>
      <c r="NM571">
        <v>0</v>
      </c>
      <c r="NN571">
        <v>0</v>
      </c>
      <c r="NO571">
        <v>0</v>
      </c>
      <c r="NP571">
        <v>0</v>
      </c>
      <c r="NQ571">
        <v>0</v>
      </c>
      <c r="NR571">
        <v>0</v>
      </c>
      <c r="NS571">
        <v>0</v>
      </c>
      <c r="NT571">
        <v>0</v>
      </c>
      <c r="NU571">
        <v>0</v>
      </c>
      <c r="NV571">
        <v>0</v>
      </c>
      <c r="NW571">
        <v>0</v>
      </c>
      <c r="NX571">
        <v>0</v>
      </c>
      <c r="NY571">
        <v>0</v>
      </c>
      <c r="NZ571">
        <v>0</v>
      </c>
      <c r="OA571">
        <v>0</v>
      </c>
      <c r="OB571">
        <v>0</v>
      </c>
      <c r="OC571">
        <v>0</v>
      </c>
      <c r="OD571">
        <v>0</v>
      </c>
      <c r="OE571">
        <v>0</v>
      </c>
      <c r="OF571">
        <v>0</v>
      </c>
      <c r="OG571">
        <v>0</v>
      </c>
      <c r="OH571">
        <v>0</v>
      </c>
      <c r="OI571">
        <v>0</v>
      </c>
      <c r="OJ571">
        <v>0</v>
      </c>
      <c r="OK571">
        <v>0</v>
      </c>
      <c r="OL571">
        <v>0</v>
      </c>
      <c r="OM571">
        <v>0</v>
      </c>
      <c r="ON571">
        <v>0</v>
      </c>
      <c r="OO571">
        <v>2</v>
      </c>
      <c r="OP571">
        <v>0</v>
      </c>
      <c r="OQ571">
        <v>0</v>
      </c>
      <c r="OR571">
        <v>0</v>
      </c>
      <c r="OS571">
        <v>0</v>
      </c>
      <c r="OT571">
        <v>0</v>
      </c>
      <c r="OU571">
        <v>0</v>
      </c>
      <c r="OV571">
        <v>0</v>
      </c>
      <c r="OW571">
        <v>0</v>
      </c>
      <c r="OX571">
        <v>0</v>
      </c>
      <c r="OY571">
        <v>0</v>
      </c>
      <c r="OZ571">
        <v>0</v>
      </c>
      <c r="PA571">
        <v>0</v>
      </c>
      <c r="PB571">
        <v>0</v>
      </c>
      <c r="PC571">
        <v>0</v>
      </c>
      <c r="PD571">
        <v>0</v>
      </c>
      <c r="PE571">
        <v>0</v>
      </c>
      <c r="PF571">
        <v>0</v>
      </c>
      <c r="PG571">
        <v>0</v>
      </c>
      <c r="PH571">
        <v>0</v>
      </c>
      <c r="PI571">
        <v>0</v>
      </c>
      <c r="PJ571">
        <v>0</v>
      </c>
      <c r="PK571">
        <v>0</v>
      </c>
      <c r="PL571">
        <v>0</v>
      </c>
      <c r="PM571">
        <v>0</v>
      </c>
      <c r="PN571">
        <v>0</v>
      </c>
      <c r="PO571">
        <v>0</v>
      </c>
      <c r="PP571">
        <v>0</v>
      </c>
      <c r="PQ571">
        <v>0</v>
      </c>
      <c r="PR571">
        <v>0</v>
      </c>
      <c r="PS571">
        <v>0</v>
      </c>
      <c r="PT571">
        <v>0</v>
      </c>
      <c r="PU571">
        <v>0</v>
      </c>
      <c r="PV571">
        <v>0</v>
      </c>
      <c r="PW571">
        <v>0</v>
      </c>
      <c r="PX571">
        <v>0</v>
      </c>
      <c r="PY571">
        <v>0</v>
      </c>
      <c r="PZ571">
        <v>0</v>
      </c>
      <c r="QA571">
        <v>0</v>
      </c>
      <c r="QB571">
        <v>0</v>
      </c>
      <c r="QC571">
        <v>0</v>
      </c>
      <c r="QD571">
        <v>0</v>
      </c>
      <c r="QE571">
        <v>0</v>
      </c>
      <c r="QF571">
        <v>0</v>
      </c>
      <c r="QG571">
        <v>0</v>
      </c>
      <c r="QH571">
        <v>0</v>
      </c>
      <c r="QI571">
        <v>0</v>
      </c>
      <c r="QJ571">
        <v>0</v>
      </c>
      <c r="QK571">
        <v>0</v>
      </c>
      <c r="QL571">
        <v>0</v>
      </c>
      <c r="QM571">
        <v>0</v>
      </c>
      <c r="QN571">
        <v>0</v>
      </c>
      <c r="QO571">
        <v>0</v>
      </c>
      <c r="QP571">
        <v>0</v>
      </c>
      <c r="QQ571">
        <v>0</v>
      </c>
      <c r="QR571">
        <v>0</v>
      </c>
      <c r="QS571">
        <v>0</v>
      </c>
      <c r="QT571">
        <v>0</v>
      </c>
      <c r="QU571">
        <v>0</v>
      </c>
      <c r="QV571">
        <v>0</v>
      </c>
      <c r="QW571">
        <v>0</v>
      </c>
      <c r="QX571">
        <v>0</v>
      </c>
      <c r="QY571">
        <v>0</v>
      </c>
    </row>
    <row r="572" spans="1:467" hidden="1" x14ac:dyDescent="0.4">
      <c r="A572" t="str">
        <f>"9784622095699"</f>
        <v>9784622095699</v>
      </c>
      <c r="B572" t="str">
        <f>"4622095696"</f>
        <v>4622095696</v>
      </c>
      <c r="C572" t="s">
        <v>2965</v>
      </c>
      <c r="D572" t="s">
        <v>2966</v>
      </c>
      <c r="E572" t="s">
        <v>2455</v>
      </c>
      <c r="G572" t="str">
        <f>"0095"</f>
        <v>0095</v>
      </c>
      <c r="H572" t="s">
        <v>481</v>
      </c>
      <c r="I572" t="s">
        <v>1893</v>
      </c>
      <c r="J572" t="s">
        <v>509</v>
      </c>
      <c r="L572" s="1">
        <v>44944</v>
      </c>
      <c r="M572">
        <v>4000</v>
      </c>
      <c r="N572">
        <v>6</v>
      </c>
      <c r="O572">
        <v>6</v>
      </c>
      <c r="P572">
        <v>6</v>
      </c>
      <c r="Q572">
        <v>6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1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1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1</v>
      </c>
      <c r="GJ572">
        <v>0</v>
      </c>
      <c r="GK572">
        <v>0</v>
      </c>
      <c r="GL572">
        <v>1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  <c r="MN572">
        <v>0</v>
      </c>
      <c r="MO572">
        <v>0</v>
      </c>
      <c r="MP572">
        <v>0</v>
      </c>
      <c r="MQ572">
        <v>0</v>
      </c>
      <c r="MR572">
        <v>0</v>
      </c>
      <c r="MS572">
        <v>0</v>
      </c>
      <c r="MT572">
        <v>0</v>
      </c>
      <c r="MU572">
        <v>0</v>
      </c>
      <c r="MV572">
        <v>0</v>
      </c>
      <c r="MW572">
        <v>0</v>
      </c>
      <c r="MX572">
        <v>0</v>
      </c>
      <c r="MY572">
        <v>0</v>
      </c>
      <c r="MZ572">
        <v>0</v>
      </c>
      <c r="NA572">
        <v>0</v>
      </c>
      <c r="NB572">
        <v>0</v>
      </c>
      <c r="NC572">
        <v>0</v>
      </c>
      <c r="ND572">
        <v>0</v>
      </c>
      <c r="NE572">
        <v>0</v>
      </c>
      <c r="NF572">
        <v>0</v>
      </c>
      <c r="NG572">
        <v>0</v>
      </c>
      <c r="NH572">
        <v>0</v>
      </c>
      <c r="NI572">
        <v>0</v>
      </c>
      <c r="NJ572">
        <v>0</v>
      </c>
      <c r="NK572">
        <v>0</v>
      </c>
      <c r="NL572">
        <v>0</v>
      </c>
      <c r="NM572">
        <v>0</v>
      </c>
      <c r="NN572">
        <v>0</v>
      </c>
      <c r="NO572">
        <v>0</v>
      </c>
      <c r="NP572">
        <v>0</v>
      </c>
      <c r="NQ572">
        <v>0</v>
      </c>
      <c r="NR572">
        <v>0</v>
      </c>
      <c r="NS572">
        <v>0</v>
      </c>
      <c r="NT572">
        <v>0</v>
      </c>
      <c r="NU572">
        <v>0</v>
      </c>
      <c r="NV572">
        <v>0</v>
      </c>
      <c r="NW572">
        <v>0</v>
      </c>
      <c r="NX572">
        <v>0</v>
      </c>
      <c r="NY572">
        <v>1</v>
      </c>
      <c r="NZ572">
        <v>0</v>
      </c>
      <c r="OA572">
        <v>0</v>
      </c>
      <c r="OB572">
        <v>0</v>
      </c>
      <c r="OC572">
        <v>0</v>
      </c>
      <c r="OD572">
        <v>0</v>
      </c>
      <c r="OE572">
        <v>0</v>
      </c>
      <c r="OF572">
        <v>0</v>
      </c>
      <c r="OG572">
        <v>0</v>
      </c>
      <c r="OH572">
        <v>0</v>
      </c>
      <c r="OI572">
        <v>0</v>
      </c>
      <c r="OJ572">
        <v>0</v>
      </c>
      <c r="OK572">
        <v>0</v>
      </c>
      <c r="OL572">
        <v>0</v>
      </c>
      <c r="OM572">
        <v>0</v>
      </c>
      <c r="ON572">
        <v>0</v>
      </c>
      <c r="OO572">
        <v>0</v>
      </c>
      <c r="OP572">
        <v>0</v>
      </c>
      <c r="OQ572">
        <v>0</v>
      </c>
      <c r="OR572">
        <v>0</v>
      </c>
      <c r="OS572">
        <v>0</v>
      </c>
      <c r="OT572">
        <v>0</v>
      </c>
      <c r="OU572">
        <v>0</v>
      </c>
      <c r="OV572">
        <v>0</v>
      </c>
      <c r="OW572">
        <v>0</v>
      </c>
      <c r="OX572">
        <v>0</v>
      </c>
      <c r="OY572">
        <v>0</v>
      </c>
      <c r="OZ572">
        <v>0</v>
      </c>
      <c r="PA572">
        <v>0</v>
      </c>
      <c r="PB572">
        <v>0</v>
      </c>
      <c r="PC572">
        <v>0</v>
      </c>
      <c r="PD572">
        <v>0</v>
      </c>
      <c r="PE572">
        <v>0</v>
      </c>
      <c r="PF572">
        <v>0</v>
      </c>
      <c r="PG572">
        <v>0</v>
      </c>
      <c r="PH572">
        <v>0</v>
      </c>
      <c r="PI572">
        <v>0</v>
      </c>
      <c r="PJ572">
        <v>0</v>
      </c>
      <c r="PK572">
        <v>0</v>
      </c>
      <c r="PL572">
        <v>0</v>
      </c>
      <c r="PM572">
        <v>0</v>
      </c>
      <c r="PN572">
        <v>0</v>
      </c>
      <c r="PO572">
        <v>0</v>
      </c>
      <c r="PP572">
        <v>0</v>
      </c>
      <c r="PQ572">
        <v>0</v>
      </c>
      <c r="PR572">
        <v>0</v>
      </c>
      <c r="PS572">
        <v>0</v>
      </c>
      <c r="PT572">
        <v>0</v>
      </c>
      <c r="PU572">
        <v>0</v>
      </c>
      <c r="PV572">
        <v>0</v>
      </c>
      <c r="PW572">
        <v>0</v>
      </c>
      <c r="PX572">
        <v>0</v>
      </c>
      <c r="PY572">
        <v>0</v>
      </c>
      <c r="PZ572">
        <v>0</v>
      </c>
      <c r="QA572">
        <v>0</v>
      </c>
      <c r="QB572">
        <v>0</v>
      </c>
      <c r="QC572">
        <v>0</v>
      </c>
      <c r="QD572">
        <v>0</v>
      </c>
      <c r="QE572">
        <v>0</v>
      </c>
      <c r="QF572">
        <v>0</v>
      </c>
      <c r="QG572">
        <v>0</v>
      </c>
      <c r="QH572">
        <v>0</v>
      </c>
      <c r="QI572">
        <v>0</v>
      </c>
      <c r="QJ572">
        <v>0</v>
      </c>
      <c r="QK572">
        <v>1</v>
      </c>
      <c r="QL572">
        <v>0</v>
      </c>
      <c r="QM572">
        <v>0</v>
      </c>
      <c r="QN572">
        <v>0</v>
      </c>
      <c r="QO572">
        <v>0</v>
      </c>
      <c r="QP572">
        <v>0</v>
      </c>
      <c r="QQ572">
        <v>0</v>
      </c>
      <c r="QR572">
        <v>0</v>
      </c>
      <c r="QS572">
        <v>0</v>
      </c>
      <c r="QT572">
        <v>0</v>
      </c>
      <c r="QU572">
        <v>0</v>
      </c>
      <c r="QV572">
        <v>0</v>
      </c>
      <c r="QW572">
        <v>0</v>
      </c>
      <c r="QX572">
        <v>0</v>
      </c>
      <c r="QY572">
        <v>0</v>
      </c>
    </row>
    <row r="573" spans="1:467" hidden="1" x14ac:dyDescent="0.4">
      <c r="A573" t="str">
        <f>"9784990315085"</f>
        <v>9784990315085</v>
      </c>
      <c r="B573" t="str">
        <f>"4990315081"</f>
        <v>4990315081</v>
      </c>
      <c r="C573" t="s">
        <v>2967</v>
      </c>
      <c r="D573" t="s">
        <v>2968</v>
      </c>
      <c r="E573" t="s">
        <v>2969</v>
      </c>
      <c r="F573" t="s">
        <v>2970</v>
      </c>
      <c r="G573" t="str">
        <f>"0095"</f>
        <v>0095</v>
      </c>
      <c r="H573" t="s">
        <v>481</v>
      </c>
      <c r="I573" t="s">
        <v>1893</v>
      </c>
      <c r="J573" t="s">
        <v>509</v>
      </c>
      <c r="L573" s="1">
        <v>44860</v>
      </c>
      <c r="M573">
        <v>1500</v>
      </c>
      <c r="N573">
        <v>6</v>
      </c>
      <c r="O573">
        <v>4</v>
      </c>
      <c r="P573">
        <v>6</v>
      </c>
      <c r="Q573">
        <v>4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3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1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0</v>
      </c>
      <c r="MN573">
        <v>0</v>
      </c>
      <c r="MO573">
        <v>0</v>
      </c>
      <c r="MP573">
        <v>0</v>
      </c>
      <c r="MQ573">
        <v>0</v>
      </c>
      <c r="MR573">
        <v>0</v>
      </c>
      <c r="MS573">
        <v>0</v>
      </c>
      <c r="MT573">
        <v>0</v>
      </c>
      <c r="MU573">
        <v>0</v>
      </c>
      <c r="MV573">
        <v>0</v>
      </c>
      <c r="MW573">
        <v>0</v>
      </c>
      <c r="MX573">
        <v>0</v>
      </c>
      <c r="MY573">
        <v>0</v>
      </c>
      <c r="MZ573">
        <v>0</v>
      </c>
      <c r="NA573">
        <v>0</v>
      </c>
      <c r="NB573">
        <v>0</v>
      </c>
      <c r="NC573">
        <v>0</v>
      </c>
      <c r="ND573">
        <v>0</v>
      </c>
      <c r="NE573">
        <v>0</v>
      </c>
      <c r="NF573">
        <v>0</v>
      </c>
      <c r="NG573">
        <v>0</v>
      </c>
      <c r="NH573">
        <v>0</v>
      </c>
      <c r="NI573">
        <v>0</v>
      </c>
      <c r="NJ573">
        <v>0</v>
      </c>
      <c r="NK573">
        <v>0</v>
      </c>
      <c r="NL573">
        <v>0</v>
      </c>
      <c r="NM573">
        <v>0</v>
      </c>
      <c r="NN573">
        <v>0</v>
      </c>
      <c r="NO573">
        <v>0</v>
      </c>
      <c r="NP573">
        <v>0</v>
      </c>
      <c r="NQ573">
        <v>0</v>
      </c>
      <c r="NR573">
        <v>1</v>
      </c>
      <c r="NS573">
        <v>0</v>
      </c>
      <c r="NT573">
        <v>0</v>
      </c>
      <c r="NU573">
        <v>0</v>
      </c>
      <c r="NV573">
        <v>0</v>
      </c>
      <c r="NW573">
        <v>0</v>
      </c>
      <c r="NX573">
        <v>0</v>
      </c>
      <c r="NY573">
        <v>0</v>
      </c>
      <c r="NZ573">
        <v>0</v>
      </c>
      <c r="OA573">
        <v>0</v>
      </c>
      <c r="OB573">
        <v>0</v>
      </c>
      <c r="OC573">
        <v>0</v>
      </c>
      <c r="OD573">
        <v>0</v>
      </c>
      <c r="OE573">
        <v>0</v>
      </c>
      <c r="OF573">
        <v>0</v>
      </c>
      <c r="OG573">
        <v>0</v>
      </c>
      <c r="OH573">
        <v>0</v>
      </c>
      <c r="OI573">
        <v>0</v>
      </c>
      <c r="OJ573">
        <v>0</v>
      </c>
      <c r="OK573">
        <v>0</v>
      </c>
      <c r="OL573">
        <v>0</v>
      </c>
      <c r="OM573">
        <v>0</v>
      </c>
      <c r="ON573">
        <v>0</v>
      </c>
      <c r="OO573">
        <v>0</v>
      </c>
      <c r="OP573">
        <v>0</v>
      </c>
      <c r="OQ573">
        <v>0</v>
      </c>
      <c r="OR573">
        <v>0</v>
      </c>
      <c r="OS573">
        <v>0</v>
      </c>
      <c r="OT573">
        <v>0</v>
      </c>
      <c r="OU573">
        <v>0</v>
      </c>
      <c r="OV573">
        <v>0</v>
      </c>
      <c r="OW573">
        <v>0</v>
      </c>
      <c r="OX573">
        <v>0</v>
      </c>
      <c r="OY573">
        <v>0</v>
      </c>
      <c r="OZ573">
        <v>0</v>
      </c>
      <c r="PA573">
        <v>0</v>
      </c>
      <c r="PB573">
        <v>0</v>
      </c>
      <c r="PC573">
        <v>0</v>
      </c>
      <c r="PD573">
        <v>0</v>
      </c>
      <c r="PE573">
        <v>0</v>
      </c>
      <c r="PF573">
        <v>0</v>
      </c>
      <c r="PG573">
        <v>0</v>
      </c>
      <c r="PH573">
        <v>0</v>
      </c>
      <c r="PI573">
        <v>0</v>
      </c>
      <c r="PJ573">
        <v>0</v>
      </c>
      <c r="PK573">
        <v>0</v>
      </c>
      <c r="PL573">
        <v>0</v>
      </c>
      <c r="PM573">
        <v>0</v>
      </c>
      <c r="PN573">
        <v>0</v>
      </c>
      <c r="PO573">
        <v>0</v>
      </c>
      <c r="PP573">
        <v>0</v>
      </c>
      <c r="PQ573">
        <v>0</v>
      </c>
      <c r="PR573">
        <v>0</v>
      </c>
      <c r="PS573">
        <v>0</v>
      </c>
      <c r="PT573">
        <v>0</v>
      </c>
      <c r="PU573">
        <v>0</v>
      </c>
      <c r="PV573">
        <v>0</v>
      </c>
      <c r="PW573">
        <v>0</v>
      </c>
      <c r="PX573">
        <v>0</v>
      </c>
      <c r="PY573">
        <v>0</v>
      </c>
      <c r="PZ573">
        <v>0</v>
      </c>
      <c r="QA573">
        <v>0</v>
      </c>
      <c r="QB573">
        <v>0</v>
      </c>
      <c r="QC573">
        <v>0</v>
      </c>
      <c r="QD573">
        <v>0</v>
      </c>
      <c r="QE573">
        <v>0</v>
      </c>
      <c r="QF573">
        <v>0</v>
      </c>
      <c r="QG573">
        <v>0</v>
      </c>
      <c r="QH573">
        <v>0</v>
      </c>
      <c r="QI573">
        <v>0</v>
      </c>
      <c r="QJ573">
        <v>0</v>
      </c>
      <c r="QK573">
        <v>0</v>
      </c>
      <c r="QL573">
        <v>0</v>
      </c>
      <c r="QM573">
        <v>0</v>
      </c>
      <c r="QN573">
        <v>0</v>
      </c>
      <c r="QO573">
        <v>0</v>
      </c>
      <c r="QP573">
        <v>0</v>
      </c>
      <c r="QQ573">
        <v>0</v>
      </c>
      <c r="QR573">
        <v>0</v>
      </c>
      <c r="QS573">
        <v>0</v>
      </c>
      <c r="QT573">
        <v>0</v>
      </c>
      <c r="QU573">
        <v>0</v>
      </c>
      <c r="QV573">
        <v>0</v>
      </c>
      <c r="QW573">
        <v>0</v>
      </c>
      <c r="QX573">
        <v>0</v>
      </c>
      <c r="QY573">
        <v>0</v>
      </c>
    </row>
    <row r="574" spans="1:467" hidden="1" x14ac:dyDescent="0.4">
      <c r="A574" t="str">
        <f>"9784309711898"</f>
        <v>9784309711898</v>
      </c>
      <c r="B574" t="str">
        <f>"4309711898"</f>
        <v>4309711898</v>
      </c>
      <c r="C574" t="s">
        <v>2971</v>
      </c>
      <c r="D574" t="s">
        <v>2972</v>
      </c>
      <c r="E574" t="s">
        <v>1143</v>
      </c>
      <c r="F574" t="s">
        <v>2973</v>
      </c>
      <c r="G574" t="str">
        <f>"0398"</f>
        <v>0398</v>
      </c>
      <c r="H574" t="s">
        <v>481</v>
      </c>
      <c r="I574" t="s">
        <v>1877</v>
      </c>
      <c r="J574" t="s">
        <v>1894</v>
      </c>
      <c r="L574" s="1">
        <v>44922</v>
      </c>
      <c r="M574">
        <v>2500</v>
      </c>
      <c r="N574">
        <v>6</v>
      </c>
      <c r="O574">
        <v>5</v>
      </c>
      <c r="P574">
        <v>6</v>
      </c>
      <c r="Q574">
        <v>5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1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2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0</v>
      </c>
      <c r="HB574">
        <v>0</v>
      </c>
      <c r="HC574">
        <v>1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0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0</v>
      </c>
      <c r="MM574">
        <v>0</v>
      </c>
      <c r="MN574">
        <v>0</v>
      </c>
      <c r="MO574">
        <v>0</v>
      </c>
      <c r="MP574">
        <v>0</v>
      </c>
      <c r="MQ574">
        <v>0</v>
      </c>
      <c r="MR574">
        <v>0</v>
      </c>
      <c r="MS574">
        <v>0</v>
      </c>
      <c r="MT574">
        <v>0</v>
      </c>
      <c r="MU574">
        <v>0</v>
      </c>
      <c r="MV574">
        <v>0</v>
      </c>
      <c r="MW574">
        <v>0</v>
      </c>
      <c r="MX574">
        <v>0</v>
      </c>
      <c r="MY574">
        <v>0</v>
      </c>
      <c r="MZ574">
        <v>0</v>
      </c>
      <c r="NA574">
        <v>0</v>
      </c>
      <c r="NB574">
        <v>0</v>
      </c>
      <c r="NC574">
        <v>0</v>
      </c>
      <c r="ND574">
        <v>0</v>
      </c>
      <c r="NE574">
        <v>0</v>
      </c>
      <c r="NF574">
        <v>0</v>
      </c>
      <c r="NG574">
        <v>0</v>
      </c>
      <c r="NH574">
        <v>0</v>
      </c>
      <c r="NI574">
        <v>0</v>
      </c>
      <c r="NJ574">
        <v>0</v>
      </c>
      <c r="NK574">
        <v>0</v>
      </c>
      <c r="NL574">
        <v>0</v>
      </c>
      <c r="NM574">
        <v>0</v>
      </c>
      <c r="NN574">
        <v>0</v>
      </c>
      <c r="NO574">
        <v>0</v>
      </c>
      <c r="NP574">
        <v>0</v>
      </c>
      <c r="NQ574">
        <v>0</v>
      </c>
      <c r="NR574">
        <v>0</v>
      </c>
      <c r="NS574">
        <v>0</v>
      </c>
      <c r="NT574">
        <v>0</v>
      </c>
      <c r="NU574">
        <v>0</v>
      </c>
      <c r="NV574">
        <v>0</v>
      </c>
      <c r="NW574">
        <v>0</v>
      </c>
      <c r="NX574">
        <v>0</v>
      </c>
      <c r="NY574">
        <v>1</v>
      </c>
      <c r="NZ574">
        <v>0</v>
      </c>
      <c r="OA574">
        <v>0</v>
      </c>
      <c r="OB574">
        <v>0</v>
      </c>
      <c r="OC574">
        <v>0</v>
      </c>
      <c r="OD574">
        <v>0</v>
      </c>
      <c r="OE574">
        <v>0</v>
      </c>
      <c r="OF574">
        <v>0</v>
      </c>
      <c r="OG574">
        <v>0</v>
      </c>
      <c r="OH574">
        <v>0</v>
      </c>
      <c r="OI574">
        <v>0</v>
      </c>
      <c r="OJ574">
        <v>0</v>
      </c>
      <c r="OK574">
        <v>0</v>
      </c>
      <c r="OL574">
        <v>0</v>
      </c>
      <c r="OM574">
        <v>0</v>
      </c>
      <c r="ON574">
        <v>0</v>
      </c>
      <c r="OO574">
        <v>0</v>
      </c>
      <c r="OP574">
        <v>0</v>
      </c>
      <c r="OQ574">
        <v>0</v>
      </c>
      <c r="OR574">
        <v>0</v>
      </c>
      <c r="OS574">
        <v>0</v>
      </c>
      <c r="OT574">
        <v>0</v>
      </c>
      <c r="OU574">
        <v>0</v>
      </c>
      <c r="OV574">
        <v>0</v>
      </c>
      <c r="OW574">
        <v>0</v>
      </c>
      <c r="OX574">
        <v>0</v>
      </c>
      <c r="OY574">
        <v>0</v>
      </c>
      <c r="OZ574">
        <v>0</v>
      </c>
      <c r="PA574">
        <v>0</v>
      </c>
      <c r="PB574">
        <v>0</v>
      </c>
      <c r="PC574">
        <v>0</v>
      </c>
      <c r="PD574">
        <v>0</v>
      </c>
      <c r="PE574">
        <v>0</v>
      </c>
      <c r="PF574">
        <v>0</v>
      </c>
      <c r="PG574">
        <v>0</v>
      </c>
      <c r="PH574">
        <v>0</v>
      </c>
      <c r="PI574">
        <v>0</v>
      </c>
      <c r="PJ574">
        <v>0</v>
      </c>
      <c r="PK574">
        <v>0</v>
      </c>
      <c r="PL574">
        <v>0</v>
      </c>
      <c r="PM574">
        <v>0</v>
      </c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0</v>
      </c>
      <c r="PX574">
        <v>0</v>
      </c>
      <c r="PY574">
        <v>0</v>
      </c>
      <c r="PZ574">
        <v>0</v>
      </c>
      <c r="QA574">
        <v>0</v>
      </c>
      <c r="QB574">
        <v>1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0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</row>
    <row r="575" spans="1:467" hidden="1" x14ac:dyDescent="0.4">
      <c r="A575" t="str">
        <f>"9784152099709"</f>
        <v>9784152099709</v>
      </c>
      <c r="B575" t="str">
        <f>"4152099704"</f>
        <v>4152099704</v>
      </c>
      <c r="C575" t="s">
        <v>2974</v>
      </c>
      <c r="D575" t="s">
        <v>961</v>
      </c>
      <c r="E575" t="s">
        <v>963</v>
      </c>
      <c r="G575" t="str">
        <f>"0097"</f>
        <v>0097</v>
      </c>
      <c r="H575" t="s">
        <v>481</v>
      </c>
      <c r="I575" t="s">
        <v>1893</v>
      </c>
      <c r="J575" t="s">
        <v>564</v>
      </c>
      <c r="L575" s="1">
        <v>44110</v>
      </c>
      <c r="M575">
        <v>2900</v>
      </c>
      <c r="N575">
        <v>6</v>
      </c>
      <c r="O575">
        <v>6</v>
      </c>
      <c r="P575">
        <v>6</v>
      </c>
      <c r="Q575">
        <v>6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1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1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1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1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  <c r="MN575">
        <v>0</v>
      </c>
      <c r="MO575">
        <v>0</v>
      </c>
      <c r="MP575">
        <v>0</v>
      </c>
      <c r="MQ575">
        <v>0</v>
      </c>
      <c r="MR575">
        <v>0</v>
      </c>
      <c r="MS575">
        <v>0</v>
      </c>
      <c r="MT575">
        <v>0</v>
      </c>
      <c r="MU575">
        <v>0</v>
      </c>
      <c r="MV575">
        <v>0</v>
      </c>
      <c r="MW575">
        <v>0</v>
      </c>
      <c r="MX575">
        <v>0</v>
      </c>
      <c r="MY575">
        <v>0</v>
      </c>
      <c r="MZ575">
        <v>0</v>
      </c>
      <c r="NA575">
        <v>0</v>
      </c>
      <c r="NB575">
        <v>0</v>
      </c>
      <c r="NC575">
        <v>0</v>
      </c>
      <c r="ND575">
        <v>0</v>
      </c>
      <c r="NE575">
        <v>0</v>
      </c>
      <c r="NF575">
        <v>0</v>
      </c>
      <c r="NG575">
        <v>0</v>
      </c>
      <c r="NH575">
        <v>0</v>
      </c>
      <c r="NI575">
        <v>0</v>
      </c>
      <c r="NJ575">
        <v>0</v>
      </c>
      <c r="NK575">
        <v>0</v>
      </c>
      <c r="NL575">
        <v>0</v>
      </c>
      <c r="NM575">
        <v>0</v>
      </c>
      <c r="NN575">
        <v>0</v>
      </c>
      <c r="NO575">
        <v>0</v>
      </c>
      <c r="NP575">
        <v>0</v>
      </c>
      <c r="NQ575">
        <v>0</v>
      </c>
      <c r="NR575">
        <v>0</v>
      </c>
      <c r="NS575">
        <v>0</v>
      </c>
      <c r="NT575">
        <v>0</v>
      </c>
      <c r="NU575">
        <v>0</v>
      </c>
      <c r="NV575">
        <v>0</v>
      </c>
      <c r="NW575">
        <v>0</v>
      </c>
      <c r="NX575">
        <v>0</v>
      </c>
      <c r="NY575">
        <v>0</v>
      </c>
      <c r="NZ575">
        <v>0</v>
      </c>
      <c r="OA575">
        <v>0</v>
      </c>
      <c r="OB575">
        <v>0</v>
      </c>
      <c r="OC575">
        <v>0</v>
      </c>
      <c r="OD575">
        <v>0</v>
      </c>
      <c r="OE575">
        <v>0</v>
      </c>
      <c r="OF575">
        <v>0</v>
      </c>
      <c r="OG575">
        <v>0</v>
      </c>
      <c r="OH575">
        <v>0</v>
      </c>
      <c r="OI575">
        <v>0</v>
      </c>
      <c r="OJ575">
        <v>0</v>
      </c>
      <c r="OK575">
        <v>0</v>
      </c>
      <c r="OL575">
        <v>0</v>
      </c>
      <c r="OM575">
        <v>1</v>
      </c>
      <c r="ON575">
        <v>0</v>
      </c>
      <c r="OO575">
        <v>0</v>
      </c>
      <c r="OP575">
        <v>0</v>
      </c>
      <c r="OQ575">
        <v>0</v>
      </c>
      <c r="OR575">
        <v>0</v>
      </c>
      <c r="OS575">
        <v>1</v>
      </c>
      <c r="OT575">
        <v>0</v>
      </c>
      <c r="OU575">
        <v>0</v>
      </c>
      <c r="OV575">
        <v>0</v>
      </c>
      <c r="OW575">
        <v>0</v>
      </c>
      <c r="OX575">
        <v>0</v>
      </c>
      <c r="OY575">
        <v>0</v>
      </c>
      <c r="OZ575">
        <v>0</v>
      </c>
      <c r="PA575">
        <v>0</v>
      </c>
      <c r="PB575">
        <v>0</v>
      </c>
      <c r="PC575">
        <v>0</v>
      </c>
      <c r="PD575">
        <v>0</v>
      </c>
      <c r="PE575">
        <v>0</v>
      </c>
      <c r="PF575">
        <v>0</v>
      </c>
      <c r="PG575">
        <v>0</v>
      </c>
      <c r="PH575">
        <v>0</v>
      </c>
      <c r="PI575">
        <v>0</v>
      </c>
      <c r="PJ575">
        <v>0</v>
      </c>
      <c r="PK575">
        <v>0</v>
      </c>
      <c r="PL575">
        <v>0</v>
      </c>
      <c r="PM575">
        <v>0</v>
      </c>
      <c r="PN575">
        <v>0</v>
      </c>
      <c r="PO575">
        <v>0</v>
      </c>
      <c r="PP575">
        <v>0</v>
      </c>
      <c r="PQ575">
        <v>0</v>
      </c>
      <c r="PR575">
        <v>0</v>
      </c>
      <c r="PS575">
        <v>0</v>
      </c>
      <c r="PT575">
        <v>0</v>
      </c>
      <c r="PU575">
        <v>0</v>
      </c>
      <c r="PV575">
        <v>0</v>
      </c>
      <c r="PW575">
        <v>0</v>
      </c>
      <c r="PX575">
        <v>0</v>
      </c>
      <c r="PY575">
        <v>0</v>
      </c>
      <c r="PZ575">
        <v>0</v>
      </c>
      <c r="QA575">
        <v>0</v>
      </c>
      <c r="QB575">
        <v>0</v>
      </c>
      <c r="QC575">
        <v>0</v>
      </c>
      <c r="QD575">
        <v>0</v>
      </c>
      <c r="QE575">
        <v>0</v>
      </c>
      <c r="QF575">
        <v>0</v>
      </c>
      <c r="QG575">
        <v>0</v>
      </c>
      <c r="QH575">
        <v>0</v>
      </c>
      <c r="QI575">
        <v>0</v>
      </c>
      <c r="QJ575">
        <v>0</v>
      </c>
      <c r="QK575">
        <v>0</v>
      </c>
      <c r="QL575">
        <v>0</v>
      </c>
      <c r="QM575">
        <v>0</v>
      </c>
      <c r="QN575">
        <v>0</v>
      </c>
      <c r="QO575">
        <v>0</v>
      </c>
      <c r="QP575">
        <v>0</v>
      </c>
      <c r="QQ575">
        <v>0</v>
      </c>
      <c r="QR575">
        <v>0</v>
      </c>
      <c r="QS575">
        <v>0</v>
      </c>
      <c r="QT575">
        <v>0</v>
      </c>
      <c r="QU575">
        <v>0</v>
      </c>
      <c r="QV575">
        <v>0</v>
      </c>
      <c r="QW575">
        <v>0</v>
      </c>
      <c r="QX575">
        <v>0</v>
      </c>
      <c r="QY575">
        <v>0</v>
      </c>
    </row>
    <row r="576" spans="1:467" hidden="1" x14ac:dyDescent="0.4">
      <c r="A576" t="str">
        <f>"9784033304106"</f>
        <v>9784033304106</v>
      </c>
      <c r="B576" t="str">
        <f>"403330410X"</f>
        <v>403330410X</v>
      </c>
      <c r="C576" t="s">
        <v>2975</v>
      </c>
      <c r="D576" t="s">
        <v>2976</v>
      </c>
      <c r="E576" t="s">
        <v>2127</v>
      </c>
      <c r="G576" t="str">
        <f>"8793"</f>
        <v>8793</v>
      </c>
      <c r="H576" t="s">
        <v>1923</v>
      </c>
      <c r="I576" t="s">
        <v>1924</v>
      </c>
      <c r="J576" t="s">
        <v>488</v>
      </c>
      <c r="L576" s="1">
        <v>40422</v>
      </c>
      <c r="M576">
        <v>1200</v>
      </c>
      <c r="N576">
        <v>6</v>
      </c>
      <c r="O576">
        <v>1</v>
      </c>
      <c r="P576">
        <v>6</v>
      </c>
      <c r="Q576">
        <v>1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0</v>
      </c>
      <c r="HV576">
        <v>0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6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0</v>
      </c>
      <c r="MN576">
        <v>0</v>
      </c>
      <c r="MO576">
        <v>0</v>
      </c>
      <c r="MP576">
        <v>0</v>
      </c>
      <c r="MQ576">
        <v>0</v>
      </c>
      <c r="MR576">
        <v>0</v>
      </c>
      <c r="MS576">
        <v>0</v>
      </c>
      <c r="MT576">
        <v>0</v>
      </c>
      <c r="MU576">
        <v>0</v>
      </c>
      <c r="MV576">
        <v>0</v>
      </c>
      <c r="MW576">
        <v>0</v>
      </c>
      <c r="MX576">
        <v>0</v>
      </c>
      <c r="MY576">
        <v>0</v>
      </c>
      <c r="MZ576">
        <v>0</v>
      </c>
      <c r="NA576">
        <v>0</v>
      </c>
      <c r="NB576">
        <v>0</v>
      </c>
      <c r="NC576">
        <v>0</v>
      </c>
      <c r="ND576">
        <v>0</v>
      </c>
      <c r="NE576">
        <v>0</v>
      </c>
      <c r="NF576">
        <v>0</v>
      </c>
      <c r="NG576">
        <v>0</v>
      </c>
      <c r="NH576">
        <v>0</v>
      </c>
      <c r="NI576">
        <v>0</v>
      </c>
      <c r="NJ576">
        <v>0</v>
      </c>
      <c r="NK576">
        <v>0</v>
      </c>
      <c r="NL576">
        <v>0</v>
      </c>
      <c r="NM576">
        <v>0</v>
      </c>
      <c r="NN576">
        <v>0</v>
      </c>
      <c r="NO576">
        <v>0</v>
      </c>
      <c r="NP576">
        <v>0</v>
      </c>
      <c r="NQ576">
        <v>0</v>
      </c>
      <c r="NR576">
        <v>0</v>
      </c>
      <c r="NS576">
        <v>0</v>
      </c>
      <c r="NT576">
        <v>0</v>
      </c>
      <c r="NU576">
        <v>0</v>
      </c>
      <c r="NV576">
        <v>0</v>
      </c>
      <c r="NW576">
        <v>0</v>
      </c>
      <c r="NX576">
        <v>0</v>
      </c>
      <c r="NY576">
        <v>0</v>
      </c>
      <c r="NZ576">
        <v>0</v>
      </c>
      <c r="OA576">
        <v>0</v>
      </c>
      <c r="OB576">
        <v>0</v>
      </c>
      <c r="OC576">
        <v>0</v>
      </c>
      <c r="OD576">
        <v>0</v>
      </c>
      <c r="OE576">
        <v>0</v>
      </c>
      <c r="OF576">
        <v>0</v>
      </c>
      <c r="OG576">
        <v>0</v>
      </c>
      <c r="OH576">
        <v>0</v>
      </c>
      <c r="OI576">
        <v>0</v>
      </c>
      <c r="OJ576">
        <v>0</v>
      </c>
      <c r="OK576">
        <v>0</v>
      </c>
      <c r="OL576">
        <v>0</v>
      </c>
      <c r="OM576">
        <v>0</v>
      </c>
      <c r="ON576">
        <v>0</v>
      </c>
      <c r="OO576">
        <v>0</v>
      </c>
      <c r="OP576">
        <v>0</v>
      </c>
      <c r="OQ576">
        <v>0</v>
      </c>
      <c r="OR576">
        <v>0</v>
      </c>
      <c r="OS576">
        <v>0</v>
      </c>
      <c r="OT576">
        <v>0</v>
      </c>
      <c r="OU576">
        <v>0</v>
      </c>
      <c r="OV576">
        <v>0</v>
      </c>
      <c r="OW576">
        <v>0</v>
      </c>
      <c r="OX576">
        <v>0</v>
      </c>
      <c r="OY576">
        <v>0</v>
      </c>
      <c r="OZ576">
        <v>0</v>
      </c>
      <c r="PA576">
        <v>0</v>
      </c>
      <c r="PB576">
        <v>0</v>
      </c>
      <c r="PC576">
        <v>0</v>
      </c>
      <c r="PD576">
        <v>0</v>
      </c>
      <c r="PE576">
        <v>0</v>
      </c>
      <c r="PF576">
        <v>0</v>
      </c>
      <c r="PG576">
        <v>0</v>
      </c>
      <c r="PH576">
        <v>0</v>
      </c>
      <c r="PI576">
        <v>0</v>
      </c>
      <c r="PJ576">
        <v>0</v>
      </c>
      <c r="PK576">
        <v>0</v>
      </c>
      <c r="PL576">
        <v>0</v>
      </c>
      <c r="PM576">
        <v>0</v>
      </c>
      <c r="PN576">
        <v>0</v>
      </c>
      <c r="PO576">
        <v>0</v>
      </c>
      <c r="PP576">
        <v>0</v>
      </c>
      <c r="PQ576">
        <v>0</v>
      </c>
      <c r="PR576">
        <v>0</v>
      </c>
      <c r="PS576">
        <v>0</v>
      </c>
      <c r="PT576">
        <v>0</v>
      </c>
      <c r="PU576">
        <v>0</v>
      </c>
      <c r="PV576">
        <v>0</v>
      </c>
      <c r="PW576">
        <v>0</v>
      </c>
      <c r="PX576">
        <v>0</v>
      </c>
      <c r="PY576">
        <v>0</v>
      </c>
      <c r="PZ576">
        <v>0</v>
      </c>
      <c r="QA576">
        <v>0</v>
      </c>
      <c r="QB576">
        <v>0</v>
      </c>
      <c r="QC576">
        <v>0</v>
      </c>
      <c r="QD576">
        <v>0</v>
      </c>
      <c r="QE576">
        <v>0</v>
      </c>
      <c r="QF576">
        <v>0</v>
      </c>
      <c r="QG576">
        <v>0</v>
      </c>
      <c r="QH576">
        <v>0</v>
      </c>
      <c r="QI576">
        <v>0</v>
      </c>
      <c r="QJ576">
        <v>0</v>
      </c>
      <c r="QK576">
        <v>0</v>
      </c>
      <c r="QL576">
        <v>0</v>
      </c>
      <c r="QM576">
        <v>0</v>
      </c>
      <c r="QN576">
        <v>0</v>
      </c>
      <c r="QO576">
        <v>0</v>
      </c>
      <c r="QP576">
        <v>0</v>
      </c>
      <c r="QQ576">
        <v>0</v>
      </c>
      <c r="QR576">
        <v>0</v>
      </c>
      <c r="QS576">
        <v>0</v>
      </c>
      <c r="QT576">
        <v>0</v>
      </c>
      <c r="QU576">
        <v>0</v>
      </c>
      <c r="QV576">
        <v>0</v>
      </c>
      <c r="QW576">
        <v>0</v>
      </c>
      <c r="QX576">
        <v>0</v>
      </c>
      <c r="QY576">
        <v>0</v>
      </c>
    </row>
    <row r="577" spans="1:467" hidden="1" x14ac:dyDescent="0.4">
      <c r="A577" t="str">
        <f>"9784152101785"</f>
        <v>9784152101785</v>
      </c>
      <c r="B577" t="str">
        <f>"4152101784"</f>
        <v>4152101784</v>
      </c>
      <c r="C577" t="s">
        <v>2977</v>
      </c>
      <c r="D577" t="s">
        <v>2978</v>
      </c>
      <c r="E577" t="s">
        <v>963</v>
      </c>
      <c r="G577" t="str">
        <f>"0093"</f>
        <v>0093</v>
      </c>
      <c r="H577" t="s">
        <v>481</v>
      </c>
      <c r="I577" t="s">
        <v>1893</v>
      </c>
      <c r="J577" t="s">
        <v>488</v>
      </c>
      <c r="L577" s="1">
        <v>44853</v>
      </c>
      <c r="M577">
        <v>1900</v>
      </c>
      <c r="N577">
        <v>6</v>
      </c>
      <c r="O577">
        <v>6</v>
      </c>
      <c r="P577">
        <v>6</v>
      </c>
      <c r="Q577">
        <v>6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0</v>
      </c>
      <c r="Y577">
        <v>1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1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0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1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1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1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0</v>
      </c>
      <c r="MK577">
        <v>0</v>
      </c>
      <c r="ML577">
        <v>0</v>
      </c>
      <c r="MM577">
        <v>0</v>
      </c>
      <c r="MN577">
        <v>0</v>
      </c>
      <c r="MO577">
        <v>0</v>
      </c>
      <c r="MP577">
        <v>0</v>
      </c>
      <c r="MQ577">
        <v>0</v>
      </c>
      <c r="MR577">
        <v>0</v>
      </c>
      <c r="MS577">
        <v>0</v>
      </c>
      <c r="MT577">
        <v>0</v>
      </c>
      <c r="MU577">
        <v>0</v>
      </c>
      <c r="MV577">
        <v>0</v>
      </c>
      <c r="MW577">
        <v>0</v>
      </c>
      <c r="MX577">
        <v>0</v>
      </c>
      <c r="MY577">
        <v>0</v>
      </c>
      <c r="MZ577">
        <v>0</v>
      </c>
      <c r="NA577">
        <v>0</v>
      </c>
      <c r="NB577">
        <v>0</v>
      </c>
      <c r="NC577">
        <v>0</v>
      </c>
      <c r="ND577">
        <v>0</v>
      </c>
      <c r="NE577">
        <v>0</v>
      </c>
      <c r="NF577">
        <v>0</v>
      </c>
      <c r="NG577">
        <v>0</v>
      </c>
      <c r="NH577">
        <v>0</v>
      </c>
      <c r="NI577">
        <v>0</v>
      </c>
      <c r="NJ577">
        <v>0</v>
      </c>
      <c r="NK577">
        <v>0</v>
      </c>
      <c r="NL577">
        <v>0</v>
      </c>
      <c r="NM577">
        <v>0</v>
      </c>
      <c r="NN577">
        <v>0</v>
      </c>
      <c r="NO577">
        <v>0</v>
      </c>
      <c r="NP577">
        <v>0</v>
      </c>
      <c r="NQ577">
        <v>0</v>
      </c>
      <c r="NR577">
        <v>0</v>
      </c>
      <c r="NS577">
        <v>0</v>
      </c>
      <c r="NT577">
        <v>0</v>
      </c>
      <c r="NU577">
        <v>0</v>
      </c>
      <c r="NV577">
        <v>0</v>
      </c>
      <c r="NW577">
        <v>0</v>
      </c>
      <c r="NX577">
        <v>0</v>
      </c>
      <c r="NY577">
        <v>0</v>
      </c>
      <c r="NZ577">
        <v>0</v>
      </c>
      <c r="OA577">
        <v>0</v>
      </c>
      <c r="OB577">
        <v>0</v>
      </c>
      <c r="OC577">
        <v>0</v>
      </c>
      <c r="OD577">
        <v>0</v>
      </c>
      <c r="OE577">
        <v>0</v>
      </c>
      <c r="OF577">
        <v>0</v>
      </c>
      <c r="OG577">
        <v>0</v>
      </c>
      <c r="OH577">
        <v>0</v>
      </c>
      <c r="OI577">
        <v>0</v>
      </c>
      <c r="OJ577">
        <v>0</v>
      </c>
      <c r="OK577">
        <v>0</v>
      </c>
      <c r="OL577">
        <v>0</v>
      </c>
      <c r="OM577">
        <v>0</v>
      </c>
      <c r="ON577">
        <v>0</v>
      </c>
      <c r="OO577">
        <v>0</v>
      </c>
      <c r="OP577">
        <v>0</v>
      </c>
      <c r="OQ577">
        <v>0</v>
      </c>
      <c r="OR577">
        <v>0</v>
      </c>
      <c r="OS577">
        <v>0</v>
      </c>
      <c r="OT577">
        <v>0</v>
      </c>
      <c r="OU577">
        <v>0</v>
      </c>
      <c r="OV577">
        <v>0</v>
      </c>
      <c r="OW577">
        <v>0</v>
      </c>
      <c r="OX577">
        <v>0</v>
      </c>
      <c r="OY577">
        <v>0</v>
      </c>
      <c r="OZ577">
        <v>0</v>
      </c>
      <c r="PA577">
        <v>0</v>
      </c>
      <c r="PB577">
        <v>0</v>
      </c>
      <c r="PC577">
        <v>0</v>
      </c>
      <c r="PD577">
        <v>0</v>
      </c>
      <c r="PE577">
        <v>0</v>
      </c>
      <c r="PF577">
        <v>0</v>
      </c>
      <c r="PG577">
        <v>0</v>
      </c>
      <c r="PH577">
        <v>0</v>
      </c>
      <c r="PI577">
        <v>0</v>
      </c>
      <c r="PJ577">
        <v>0</v>
      </c>
      <c r="PK577">
        <v>0</v>
      </c>
      <c r="PL577">
        <v>0</v>
      </c>
      <c r="PM577">
        <v>0</v>
      </c>
      <c r="PN577">
        <v>0</v>
      </c>
      <c r="PO577">
        <v>0</v>
      </c>
      <c r="PP577">
        <v>0</v>
      </c>
      <c r="PQ577">
        <v>0</v>
      </c>
      <c r="PR577">
        <v>0</v>
      </c>
      <c r="PS577">
        <v>0</v>
      </c>
      <c r="PT577">
        <v>0</v>
      </c>
      <c r="PU577">
        <v>0</v>
      </c>
      <c r="PV577">
        <v>0</v>
      </c>
      <c r="PW577">
        <v>0</v>
      </c>
      <c r="PX577">
        <v>0</v>
      </c>
      <c r="PY577">
        <v>0</v>
      </c>
      <c r="PZ577">
        <v>0</v>
      </c>
      <c r="QA577">
        <v>0</v>
      </c>
      <c r="QB577">
        <v>0</v>
      </c>
      <c r="QC577">
        <v>0</v>
      </c>
      <c r="QD577">
        <v>0</v>
      </c>
      <c r="QE577">
        <v>0</v>
      </c>
      <c r="QF577">
        <v>0</v>
      </c>
      <c r="QG577">
        <v>0</v>
      </c>
      <c r="QH577">
        <v>0</v>
      </c>
      <c r="QI577">
        <v>0</v>
      </c>
      <c r="QJ577">
        <v>0</v>
      </c>
      <c r="QK577">
        <v>0</v>
      </c>
      <c r="QL577">
        <v>0</v>
      </c>
      <c r="QM577">
        <v>0</v>
      </c>
      <c r="QN577">
        <v>0</v>
      </c>
      <c r="QO577">
        <v>0</v>
      </c>
      <c r="QP577">
        <v>0</v>
      </c>
      <c r="QQ577">
        <v>0</v>
      </c>
      <c r="QR577">
        <v>0</v>
      </c>
      <c r="QS577">
        <v>0</v>
      </c>
      <c r="QT577">
        <v>0</v>
      </c>
      <c r="QU577">
        <v>0</v>
      </c>
      <c r="QV577">
        <v>0</v>
      </c>
      <c r="QW577">
        <v>0</v>
      </c>
      <c r="QX577">
        <v>0</v>
      </c>
      <c r="QY577">
        <v>0</v>
      </c>
    </row>
    <row r="578" spans="1:467" hidden="1" x14ac:dyDescent="0.4">
      <c r="A578" t="str">
        <f>"9784909658890"</f>
        <v>9784909658890</v>
      </c>
      <c r="B578" t="str">
        <f>"4909658890"</f>
        <v>4909658890</v>
      </c>
      <c r="C578" t="s">
        <v>2979</v>
      </c>
      <c r="D578" t="s">
        <v>2980</v>
      </c>
      <c r="E578" t="s">
        <v>2981</v>
      </c>
      <c r="G578" t="str">
        <f>"0095"</f>
        <v>0095</v>
      </c>
      <c r="H578" t="s">
        <v>481</v>
      </c>
      <c r="I578" t="s">
        <v>1893</v>
      </c>
      <c r="J578" t="s">
        <v>509</v>
      </c>
      <c r="L578" s="1">
        <v>44887</v>
      </c>
      <c r="M578">
        <v>2700</v>
      </c>
      <c r="N578">
        <v>6</v>
      </c>
      <c r="O578">
        <v>6</v>
      </c>
      <c r="P578">
        <v>6</v>
      </c>
      <c r="Q578">
        <v>6</v>
      </c>
      <c r="R578">
        <v>0</v>
      </c>
      <c r="S578">
        <v>1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1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1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1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  <c r="MN578">
        <v>0</v>
      </c>
      <c r="MO578">
        <v>0</v>
      </c>
      <c r="MP578">
        <v>0</v>
      </c>
      <c r="MQ578">
        <v>0</v>
      </c>
      <c r="MR578">
        <v>0</v>
      </c>
      <c r="MS578">
        <v>0</v>
      </c>
      <c r="MT578">
        <v>0</v>
      </c>
      <c r="MU578">
        <v>0</v>
      </c>
      <c r="MV578">
        <v>0</v>
      </c>
      <c r="MW578">
        <v>0</v>
      </c>
      <c r="MX578">
        <v>0</v>
      </c>
      <c r="MY578">
        <v>0</v>
      </c>
      <c r="MZ578">
        <v>0</v>
      </c>
      <c r="NA578">
        <v>0</v>
      </c>
      <c r="NB578">
        <v>0</v>
      </c>
      <c r="NC578">
        <v>0</v>
      </c>
      <c r="ND578">
        <v>0</v>
      </c>
      <c r="NE578">
        <v>0</v>
      </c>
      <c r="NF578">
        <v>0</v>
      </c>
      <c r="NG578">
        <v>0</v>
      </c>
      <c r="NH578">
        <v>0</v>
      </c>
      <c r="NI578">
        <v>0</v>
      </c>
      <c r="NJ578">
        <v>0</v>
      </c>
      <c r="NK578">
        <v>0</v>
      </c>
      <c r="NL578">
        <v>0</v>
      </c>
      <c r="NM578">
        <v>0</v>
      </c>
      <c r="NN578">
        <v>1</v>
      </c>
      <c r="NO578">
        <v>0</v>
      </c>
      <c r="NP578">
        <v>0</v>
      </c>
      <c r="NQ578">
        <v>0</v>
      </c>
      <c r="NR578">
        <v>0</v>
      </c>
      <c r="NS578">
        <v>0</v>
      </c>
      <c r="NT578">
        <v>0</v>
      </c>
      <c r="NU578">
        <v>0</v>
      </c>
      <c r="NV578">
        <v>0</v>
      </c>
      <c r="NW578">
        <v>0</v>
      </c>
      <c r="NX578">
        <v>0</v>
      </c>
      <c r="NY578">
        <v>1</v>
      </c>
      <c r="NZ578">
        <v>0</v>
      </c>
      <c r="OA578">
        <v>0</v>
      </c>
      <c r="OB578">
        <v>0</v>
      </c>
      <c r="OC578">
        <v>0</v>
      </c>
      <c r="OD578">
        <v>0</v>
      </c>
      <c r="OE578">
        <v>0</v>
      </c>
      <c r="OF578">
        <v>0</v>
      </c>
      <c r="OG578">
        <v>0</v>
      </c>
      <c r="OH578">
        <v>0</v>
      </c>
      <c r="OI578">
        <v>0</v>
      </c>
      <c r="OJ578">
        <v>0</v>
      </c>
      <c r="OK578">
        <v>0</v>
      </c>
      <c r="OL578">
        <v>0</v>
      </c>
      <c r="OM578">
        <v>0</v>
      </c>
      <c r="ON578">
        <v>0</v>
      </c>
      <c r="OO578">
        <v>0</v>
      </c>
      <c r="OP578">
        <v>0</v>
      </c>
      <c r="OQ578">
        <v>0</v>
      </c>
      <c r="OR578">
        <v>0</v>
      </c>
      <c r="OS578">
        <v>0</v>
      </c>
      <c r="OT578">
        <v>0</v>
      </c>
      <c r="OU578">
        <v>0</v>
      </c>
      <c r="OV578">
        <v>0</v>
      </c>
      <c r="OW578">
        <v>0</v>
      </c>
      <c r="OX578">
        <v>0</v>
      </c>
      <c r="OY578">
        <v>0</v>
      </c>
      <c r="OZ578">
        <v>0</v>
      </c>
      <c r="PA578">
        <v>0</v>
      </c>
      <c r="PB578">
        <v>0</v>
      </c>
      <c r="PC578">
        <v>0</v>
      </c>
      <c r="PD578">
        <v>0</v>
      </c>
      <c r="PE578">
        <v>0</v>
      </c>
      <c r="PF578">
        <v>0</v>
      </c>
      <c r="PG578">
        <v>0</v>
      </c>
      <c r="PH578">
        <v>0</v>
      </c>
      <c r="PI578">
        <v>0</v>
      </c>
      <c r="PJ578">
        <v>0</v>
      </c>
      <c r="PK578">
        <v>0</v>
      </c>
      <c r="PL578">
        <v>0</v>
      </c>
      <c r="PM578">
        <v>0</v>
      </c>
      <c r="PN578">
        <v>0</v>
      </c>
      <c r="PO578">
        <v>0</v>
      </c>
      <c r="PP578">
        <v>0</v>
      </c>
      <c r="PQ578">
        <v>0</v>
      </c>
      <c r="PR578">
        <v>0</v>
      </c>
      <c r="PS578">
        <v>0</v>
      </c>
      <c r="PT578">
        <v>0</v>
      </c>
      <c r="PU578">
        <v>0</v>
      </c>
      <c r="PV578">
        <v>0</v>
      </c>
      <c r="PW578">
        <v>0</v>
      </c>
      <c r="PX578">
        <v>0</v>
      </c>
      <c r="PY578">
        <v>0</v>
      </c>
      <c r="PZ578">
        <v>0</v>
      </c>
      <c r="QA578">
        <v>0</v>
      </c>
      <c r="QB578">
        <v>0</v>
      </c>
      <c r="QC578">
        <v>0</v>
      </c>
      <c r="QD578">
        <v>0</v>
      </c>
      <c r="QE578">
        <v>0</v>
      </c>
      <c r="QF578">
        <v>0</v>
      </c>
      <c r="QG578">
        <v>0</v>
      </c>
      <c r="QH578">
        <v>0</v>
      </c>
      <c r="QI578">
        <v>0</v>
      </c>
      <c r="QJ578">
        <v>0</v>
      </c>
      <c r="QK578">
        <v>0</v>
      </c>
      <c r="QL578">
        <v>0</v>
      </c>
      <c r="QM578">
        <v>0</v>
      </c>
      <c r="QN578">
        <v>0</v>
      </c>
      <c r="QO578">
        <v>0</v>
      </c>
      <c r="QP578">
        <v>0</v>
      </c>
      <c r="QQ578">
        <v>0</v>
      </c>
      <c r="QR578">
        <v>0</v>
      </c>
      <c r="QS578">
        <v>0</v>
      </c>
      <c r="QT578">
        <v>0</v>
      </c>
      <c r="QU578">
        <v>0</v>
      </c>
      <c r="QV578">
        <v>0</v>
      </c>
      <c r="QW578">
        <v>0</v>
      </c>
      <c r="QX578">
        <v>0</v>
      </c>
      <c r="QY578">
        <v>0</v>
      </c>
    </row>
    <row r="579" spans="1:467" x14ac:dyDescent="0.4">
      <c r="A579" t="str">
        <f>"9784098511488"</f>
        <v>9784098511488</v>
      </c>
      <c r="B579" t="str">
        <f>"4098511487"</f>
        <v>4098511487</v>
      </c>
      <c r="C579" t="s">
        <v>2982</v>
      </c>
      <c r="D579" t="s">
        <v>2602</v>
      </c>
      <c r="E579" t="s">
        <v>1069</v>
      </c>
      <c r="F579" t="s">
        <v>1881</v>
      </c>
      <c r="G579" t="str">
        <f>"9979"</f>
        <v>9979</v>
      </c>
      <c r="H579" t="s">
        <v>1855</v>
      </c>
      <c r="I579" t="s">
        <v>1856</v>
      </c>
      <c r="J579" t="s">
        <v>1856</v>
      </c>
      <c r="L579" s="1">
        <v>44727</v>
      </c>
      <c r="M579">
        <v>500</v>
      </c>
      <c r="N579">
        <v>6</v>
      </c>
      <c r="O579">
        <v>5</v>
      </c>
      <c r="P579">
        <v>6</v>
      </c>
      <c r="Q579">
        <v>5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1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1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2</v>
      </c>
      <c r="FU579">
        <v>0</v>
      </c>
      <c r="FV579">
        <v>0</v>
      </c>
      <c r="FW579">
        <v>0</v>
      </c>
      <c r="FX579">
        <v>0</v>
      </c>
      <c r="FY579">
        <v>1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1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0</v>
      </c>
      <c r="LU579">
        <v>0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0</v>
      </c>
      <c r="MK579">
        <v>0</v>
      </c>
      <c r="ML579">
        <v>0</v>
      </c>
      <c r="MM579">
        <v>0</v>
      </c>
      <c r="MN579">
        <v>0</v>
      </c>
      <c r="MO579">
        <v>0</v>
      </c>
      <c r="MP579">
        <v>0</v>
      </c>
      <c r="MQ579">
        <v>0</v>
      </c>
      <c r="MR579">
        <v>0</v>
      </c>
      <c r="MS579">
        <v>0</v>
      </c>
      <c r="MT579">
        <v>0</v>
      </c>
      <c r="MU579">
        <v>0</v>
      </c>
      <c r="MV579">
        <v>0</v>
      </c>
      <c r="MW579">
        <v>0</v>
      </c>
      <c r="MX579">
        <v>0</v>
      </c>
      <c r="MY579">
        <v>0</v>
      </c>
      <c r="MZ579">
        <v>0</v>
      </c>
      <c r="NA579">
        <v>0</v>
      </c>
      <c r="NB579">
        <v>0</v>
      </c>
      <c r="NC579">
        <v>0</v>
      </c>
      <c r="ND579">
        <v>0</v>
      </c>
      <c r="NE579">
        <v>0</v>
      </c>
      <c r="NF579">
        <v>0</v>
      </c>
      <c r="NG579">
        <v>0</v>
      </c>
      <c r="NH579">
        <v>0</v>
      </c>
      <c r="NI579">
        <v>0</v>
      </c>
      <c r="NJ579">
        <v>0</v>
      </c>
      <c r="NK579">
        <v>0</v>
      </c>
      <c r="NL579">
        <v>0</v>
      </c>
      <c r="NM579">
        <v>0</v>
      </c>
      <c r="NN579">
        <v>0</v>
      </c>
      <c r="NO579">
        <v>0</v>
      </c>
      <c r="NP579">
        <v>0</v>
      </c>
      <c r="NQ579">
        <v>0</v>
      </c>
      <c r="NR579">
        <v>0</v>
      </c>
      <c r="NS579">
        <v>0</v>
      </c>
      <c r="NT579">
        <v>0</v>
      </c>
      <c r="NU579">
        <v>0</v>
      </c>
      <c r="NV579">
        <v>0</v>
      </c>
      <c r="NW579">
        <v>0</v>
      </c>
      <c r="NX579">
        <v>0</v>
      </c>
      <c r="NY579">
        <v>0</v>
      </c>
      <c r="NZ579">
        <v>0</v>
      </c>
      <c r="OA579">
        <v>0</v>
      </c>
      <c r="OB579">
        <v>0</v>
      </c>
      <c r="OC579">
        <v>0</v>
      </c>
      <c r="OD579">
        <v>0</v>
      </c>
      <c r="OE579">
        <v>0</v>
      </c>
      <c r="OF579">
        <v>0</v>
      </c>
      <c r="OG579">
        <v>0</v>
      </c>
      <c r="OH579">
        <v>0</v>
      </c>
      <c r="OI579">
        <v>0</v>
      </c>
      <c r="OJ579">
        <v>0</v>
      </c>
      <c r="OK579">
        <v>0</v>
      </c>
      <c r="OL579">
        <v>0</v>
      </c>
      <c r="OM579">
        <v>0</v>
      </c>
      <c r="ON579">
        <v>0</v>
      </c>
      <c r="OO579">
        <v>0</v>
      </c>
      <c r="OP579">
        <v>0</v>
      </c>
      <c r="OQ579">
        <v>0</v>
      </c>
      <c r="OR579">
        <v>0</v>
      </c>
      <c r="OS579">
        <v>0</v>
      </c>
      <c r="OT579">
        <v>0</v>
      </c>
      <c r="OU579">
        <v>0</v>
      </c>
      <c r="OV579">
        <v>0</v>
      </c>
      <c r="OW579">
        <v>0</v>
      </c>
      <c r="OX579">
        <v>0</v>
      </c>
      <c r="OY579">
        <v>0</v>
      </c>
      <c r="OZ579">
        <v>0</v>
      </c>
      <c r="PA579">
        <v>0</v>
      </c>
      <c r="PB579">
        <v>0</v>
      </c>
      <c r="PC579">
        <v>0</v>
      </c>
      <c r="PD579">
        <v>0</v>
      </c>
      <c r="PE579">
        <v>0</v>
      </c>
      <c r="PF579">
        <v>0</v>
      </c>
      <c r="PG579">
        <v>0</v>
      </c>
      <c r="PH579">
        <v>0</v>
      </c>
      <c r="PI579">
        <v>0</v>
      </c>
      <c r="PJ579">
        <v>0</v>
      </c>
      <c r="PK579">
        <v>0</v>
      </c>
      <c r="PL579">
        <v>0</v>
      </c>
      <c r="PM579">
        <v>0</v>
      </c>
      <c r="PN579">
        <v>0</v>
      </c>
      <c r="PO579">
        <v>0</v>
      </c>
      <c r="PP579">
        <v>0</v>
      </c>
      <c r="PQ579">
        <v>0</v>
      </c>
      <c r="PR579">
        <v>0</v>
      </c>
      <c r="PS579">
        <v>0</v>
      </c>
      <c r="PT579">
        <v>0</v>
      </c>
      <c r="PU579">
        <v>0</v>
      </c>
      <c r="PV579">
        <v>0</v>
      </c>
      <c r="PW579">
        <v>0</v>
      </c>
      <c r="PX579">
        <v>0</v>
      </c>
      <c r="PY579">
        <v>0</v>
      </c>
      <c r="PZ579">
        <v>0</v>
      </c>
      <c r="QA579">
        <v>0</v>
      </c>
      <c r="QB579">
        <v>0</v>
      </c>
      <c r="QC579">
        <v>0</v>
      </c>
      <c r="QD579">
        <v>0</v>
      </c>
      <c r="QE579">
        <v>0</v>
      </c>
      <c r="QF579">
        <v>0</v>
      </c>
      <c r="QG579">
        <v>0</v>
      </c>
      <c r="QH579">
        <v>0</v>
      </c>
      <c r="QI579">
        <v>0</v>
      </c>
      <c r="QJ579">
        <v>0</v>
      </c>
      <c r="QK579">
        <v>0</v>
      </c>
      <c r="QL579">
        <v>0</v>
      </c>
      <c r="QM579">
        <v>0</v>
      </c>
      <c r="QN579">
        <v>0</v>
      </c>
      <c r="QO579">
        <v>0</v>
      </c>
      <c r="QP579">
        <v>0</v>
      </c>
      <c r="QQ579">
        <v>0</v>
      </c>
      <c r="QR579">
        <v>0</v>
      </c>
      <c r="QS579">
        <v>0</v>
      </c>
      <c r="QT579">
        <v>0</v>
      </c>
      <c r="QU579">
        <v>0</v>
      </c>
      <c r="QV579">
        <v>0</v>
      </c>
      <c r="QW579">
        <v>0</v>
      </c>
      <c r="QX579">
        <v>0</v>
      </c>
      <c r="QY579">
        <v>0</v>
      </c>
    </row>
    <row r="580" spans="1:467" hidden="1" x14ac:dyDescent="0.4">
      <c r="A580" t="str">
        <f>"9784160901346"</f>
        <v>9784160901346</v>
      </c>
      <c r="B580" t="str">
        <f>"4160901344"</f>
        <v>4160901344</v>
      </c>
      <c r="C580" t="s">
        <v>2983</v>
      </c>
      <c r="D580" t="s">
        <v>2984</v>
      </c>
      <c r="E580" t="s">
        <v>639</v>
      </c>
      <c r="G580" t="str">
        <f>"0079"</f>
        <v>0079</v>
      </c>
      <c r="H580" t="s">
        <v>481</v>
      </c>
      <c r="I580" t="s">
        <v>1893</v>
      </c>
      <c r="J580" t="s">
        <v>1856</v>
      </c>
      <c r="L580" s="1">
        <v>44839</v>
      </c>
      <c r="M580">
        <v>1000</v>
      </c>
      <c r="N580">
        <v>6</v>
      </c>
      <c r="O580">
        <v>6</v>
      </c>
      <c r="P580">
        <v>6</v>
      </c>
      <c r="Q580">
        <v>6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1</v>
      </c>
      <c r="FB580">
        <v>0</v>
      </c>
      <c r="FC580">
        <v>0</v>
      </c>
      <c r="FD580">
        <v>0</v>
      </c>
      <c r="FE580">
        <v>0</v>
      </c>
      <c r="FF580">
        <v>1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1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1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1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0</v>
      </c>
      <c r="MN580">
        <v>0</v>
      </c>
      <c r="MO580">
        <v>0</v>
      </c>
      <c r="MP580">
        <v>0</v>
      </c>
      <c r="MQ580">
        <v>0</v>
      </c>
      <c r="MR580">
        <v>0</v>
      </c>
      <c r="MS580">
        <v>0</v>
      </c>
      <c r="MT580">
        <v>0</v>
      </c>
      <c r="MU580">
        <v>0</v>
      </c>
      <c r="MV580">
        <v>0</v>
      </c>
      <c r="MW580">
        <v>0</v>
      </c>
      <c r="MX580">
        <v>0</v>
      </c>
      <c r="MY580">
        <v>0</v>
      </c>
      <c r="MZ580">
        <v>0</v>
      </c>
      <c r="NA580">
        <v>0</v>
      </c>
      <c r="NB580">
        <v>0</v>
      </c>
      <c r="NC580">
        <v>0</v>
      </c>
      <c r="ND580">
        <v>0</v>
      </c>
      <c r="NE580">
        <v>0</v>
      </c>
      <c r="NF580">
        <v>0</v>
      </c>
      <c r="NG580">
        <v>0</v>
      </c>
      <c r="NH580">
        <v>0</v>
      </c>
      <c r="NI580">
        <v>0</v>
      </c>
      <c r="NJ580">
        <v>0</v>
      </c>
      <c r="NK580">
        <v>0</v>
      </c>
      <c r="NL580">
        <v>0</v>
      </c>
      <c r="NM580">
        <v>0</v>
      </c>
      <c r="NN580">
        <v>0</v>
      </c>
      <c r="NO580">
        <v>0</v>
      </c>
      <c r="NP580">
        <v>0</v>
      </c>
      <c r="NQ580">
        <v>0</v>
      </c>
      <c r="NR580">
        <v>0</v>
      </c>
      <c r="NS580">
        <v>0</v>
      </c>
      <c r="NT580">
        <v>0</v>
      </c>
      <c r="NU580">
        <v>0</v>
      </c>
      <c r="NV580">
        <v>0</v>
      </c>
      <c r="NW580">
        <v>0</v>
      </c>
      <c r="NX580">
        <v>0</v>
      </c>
      <c r="NY580">
        <v>0</v>
      </c>
      <c r="NZ580">
        <v>0</v>
      </c>
      <c r="OA580">
        <v>0</v>
      </c>
      <c r="OB580">
        <v>0</v>
      </c>
      <c r="OC580">
        <v>0</v>
      </c>
      <c r="OD580">
        <v>0</v>
      </c>
      <c r="OE580">
        <v>0</v>
      </c>
      <c r="OF580">
        <v>0</v>
      </c>
      <c r="OG580">
        <v>0</v>
      </c>
      <c r="OH580">
        <v>0</v>
      </c>
      <c r="OI580">
        <v>0</v>
      </c>
      <c r="OJ580">
        <v>0</v>
      </c>
      <c r="OK580">
        <v>0</v>
      </c>
      <c r="OL580">
        <v>0</v>
      </c>
      <c r="OM580">
        <v>0</v>
      </c>
      <c r="ON580">
        <v>0</v>
      </c>
      <c r="OO580">
        <v>0</v>
      </c>
      <c r="OP580">
        <v>0</v>
      </c>
      <c r="OQ580">
        <v>0</v>
      </c>
      <c r="OR580">
        <v>0</v>
      </c>
      <c r="OS580">
        <v>0</v>
      </c>
      <c r="OT580">
        <v>0</v>
      </c>
      <c r="OU580">
        <v>0</v>
      </c>
      <c r="OV580">
        <v>0</v>
      </c>
      <c r="OW580">
        <v>0</v>
      </c>
      <c r="OX580">
        <v>0</v>
      </c>
      <c r="OY580">
        <v>0</v>
      </c>
      <c r="OZ580">
        <v>0</v>
      </c>
      <c r="PA580">
        <v>0</v>
      </c>
      <c r="PB580">
        <v>0</v>
      </c>
      <c r="PC580">
        <v>0</v>
      </c>
      <c r="PD580">
        <v>0</v>
      </c>
      <c r="PE580">
        <v>0</v>
      </c>
      <c r="PF580">
        <v>0</v>
      </c>
      <c r="PG580">
        <v>0</v>
      </c>
      <c r="PH580">
        <v>0</v>
      </c>
      <c r="PI580">
        <v>0</v>
      </c>
      <c r="PJ580">
        <v>0</v>
      </c>
      <c r="PK580">
        <v>0</v>
      </c>
      <c r="PL580">
        <v>0</v>
      </c>
      <c r="PM580">
        <v>0</v>
      </c>
      <c r="PN580">
        <v>0</v>
      </c>
      <c r="PO580">
        <v>0</v>
      </c>
      <c r="PP580">
        <v>0</v>
      </c>
      <c r="PQ580">
        <v>0</v>
      </c>
      <c r="PR580">
        <v>0</v>
      </c>
      <c r="PS580">
        <v>0</v>
      </c>
      <c r="PT580">
        <v>0</v>
      </c>
      <c r="PU580">
        <v>0</v>
      </c>
      <c r="PV580">
        <v>0</v>
      </c>
      <c r="PW580">
        <v>0</v>
      </c>
      <c r="PX580">
        <v>0</v>
      </c>
      <c r="PY580">
        <v>0</v>
      </c>
      <c r="PZ580">
        <v>0</v>
      </c>
      <c r="QA580">
        <v>0</v>
      </c>
      <c r="QB580">
        <v>0</v>
      </c>
      <c r="QC580">
        <v>0</v>
      </c>
      <c r="QD580">
        <v>0</v>
      </c>
      <c r="QE580">
        <v>0</v>
      </c>
      <c r="QF580">
        <v>0</v>
      </c>
      <c r="QG580">
        <v>0</v>
      </c>
      <c r="QH580">
        <v>0</v>
      </c>
      <c r="QI580">
        <v>0</v>
      </c>
      <c r="QJ580">
        <v>0</v>
      </c>
      <c r="QK580">
        <v>1</v>
      </c>
      <c r="QL580">
        <v>0</v>
      </c>
      <c r="QM580">
        <v>0</v>
      </c>
      <c r="QN580">
        <v>0</v>
      </c>
      <c r="QO580">
        <v>0</v>
      </c>
      <c r="QP580">
        <v>0</v>
      </c>
      <c r="QQ580">
        <v>0</v>
      </c>
      <c r="QR580">
        <v>0</v>
      </c>
      <c r="QS580">
        <v>0</v>
      </c>
      <c r="QT580">
        <v>0</v>
      </c>
      <c r="QU580">
        <v>0</v>
      </c>
      <c r="QV580">
        <v>0</v>
      </c>
      <c r="QW580">
        <v>0</v>
      </c>
      <c r="QX580">
        <v>0</v>
      </c>
      <c r="QY580">
        <v>0</v>
      </c>
    </row>
    <row r="581" spans="1:467" hidden="1" x14ac:dyDescent="0.4">
      <c r="A581" t="str">
        <f>"9784750517667"</f>
        <v>9784750517667</v>
      </c>
      <c r="B581" t="str">
        <f>"4750517666"</f>
        <v>4750517666</v>
      </c>
      <c r="C581" t="s">
        <v>2985</v>
      </c>
      <c r="D581" t="s">
        <v>2986</v>
      </c>
      <c r="E581" t="s">
        <v>2466</v>
      </c>
      <c r="G581" t="str">
        <f>"0095"</f>
        <v>0095</v>
      </c>
      <c r="H581" t="s">
        <v>481</v>
      </c>
      <c r="I581" t="s">
        <v>1893</v>
      </c>
      <c r="J581" t="s">
        <v>509</v>
      </c>
      <c r="L581" s="1">
        <v>44834</v>
      </c>
      <c r="M581">
        <v>1800</v>
      </c>
      <c r="N581">
        <v>6</v>
      </c>
      <c r="O581">
        <v>5</v>
      </c>
      <c r="P581">
        <v>6</v>
      </c>
      <c r="Q581">
        <v>5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2</v>
      </c>
      <c r="FB581">
        <v>0</v>
      </c>
      <c r="FC581">
        <v>0</v>
      </c>
      <c r="FD581">
        <v>0</v>
      </c>
      <c r="FE581">
        <v>0</v>
      </c>
      <c r="FF581">
        <v>1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1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  <c r="MN581">
        <v>0</v>
      </c>
      <c r="MO581">
        <v>0</v>
      </c>
      <c r="MP581">
        <v>0</v>
      </c>
      <c r="MQ581">
        <v>0</v>
      </c>
      <c r="MR581">
        <v>0</v>
      </c>
      <c r="MS581">
        <v>0</v>
      </c>
      <c r="MT581">
        <v>0</v>
      </c>
      <c r="MU581">
        <v>0</v>
      </c>
      <c r="MV581">
        <v>0</v>
      </c>
      <c r="MW581">
        <v>0</v>
      </c>
      <c r="MX581">
        <v>0</v>
      </c>
      <c r="MY581">
        <v>0</v>
      </c>
      <c r="MZ581">
        <v>0</v>
      </c>
      <c r="NA581">
        <v>0</v>
      </c>
      <c r="NB581">
        <v>0</v>
      </c>
      <c r="NC581">
        <v>0</v>
      </c>
      <c r="ND581">
        <v>0</v>
      </c>
      <c r="NE581">
        <v>1</v>
      </c>
      <c r="NF581">
        <v>0</v>
      </c>
      <c r="NG581">
        <v>0</v>
      </c>
      <c r="NH581">
        <v>0</v>
      </c>
      <c r="NI581">
        <v>0</v>
      </c>
      <c r="NJ581">
        <v>0</v>
      </c>
      <c r="NK581">
        <v>0</v>
      </c>
      <c r="NL581">
        <v>0</v>
      </c>
      <c r="NM581">
        <v>0</v>
      </c>
      <c r="NN581">
        <v>0</v>
      </c>
      <c r="NO581">
        <v>0</v>
      </c>
      <c r="NP581">
        <v>0</v>
      </c>
      <c r="NQ581">
        <v>0</v>
      </c>
      <c r="NR581">
        <v>1</v>
      </c>
      <c r="NS581">
        <v>0</v>
      </c>
      <c r="NT581">
        <v>0</v>
      </c>
      <c r="NU581">
        <v>0</v>
      </c>
      <c r="NV581">
        <v>0</v>
      </c>
      <c r="NW581">
        <v>0</v>
      </c>
      <c r="NX581">
        <v>0</v>
      </c>
      <c r="NY581">
        <v>0</v>
      </c>
      <c r="NZ581">
        <v>0</v>
      </c>
      <c r="OA581">
        <v>0</v>
      </c>
      <c r="OB581">
        <v>0</v>
      </c>
      <c r="OC581">
        <v>0</v>
      </c>
      <c r="OD581">
        <v>0</v>
      </c>
      <c r="OE581">
        <v>0</v>
      </c>
      <c r="OF581">
        <v>0</v>
      </c>
      <c r="OG581">
        <v>0</v>
      </c>
      <c r="OH581">
        <v>0</v>
      </c>
      <c r="OI581">
        <v>0</v>
      </c>
      <c r="OJ581">
        <v>0</v>
      </c>
      <c r="OK581">
        <v>0</v>
      </c>
      <c r="OL581">
        <v>0</v>
      </c>
      <c r="OM581">
        <v>0</v>
      </c>
      <c r="ON581">
        <v>0</v>
      </c>
      <c r="OO581">
        <v>0</v>
      </c>
      <c r="OP581">
        <v>0</v>
      </c>
      <c r="OQ581">
        <v>0</v>
      </c>
      <c r="OR581">
        <v>0</v>
      </c>
      <c r="OS581">
        <v>0</v>
      </c>
      <c r="OT581">
        <v>0</v>
      </c>
      <c r="OU581">
        <v>0</v>
      </c>
      <c r="OV581">
        <v>0</v>
      </c>
      <c r="OW581">
        <v>0</v>
      </c>
      <c r="OX581">
        <v>0</v>
      </c>
      <c r="OY581">
        <v>0</v>
      </c>
      <c r="OZ581">
        <v>0</v>
      </c>
      <c r="PA581">
        <v>0</v>
      </c>
      <c r="PB581">
        <v>0</v>
      </c>
      <c r="PC581">
        <v>0</v>
      </c>
      <c r="PD581">
        <v>0</v>
      </c>
      <c r="PE581">
        <v>0</v>
      </c>
      <c r="PF581">
        <v>0</v>
      </c>
      <c r="PG581">
        <v>0</v>
      </c>
      <c r="PH581">
        <v>0</v>
      </c>
      <c r="PI581">
        <v>0</v>
      </c>
      <c r="PJ581">
        <v>0</v>
      </c>
      <c r="PK581">
        <v>0</v>
      </c>
      <c r="PL581">
        <v>0</v>
      </c>
      <c r="PM581">
        <v>0</v>
      </c>
      <c r="PN581">
        <v>0</v>
      </c>
      <c r="PO581">
        <v>0</v>
      </c>
      <c r="PP581">
        <v>0</v>
      </c>
      <c r="PQ581">
        <v>0</v>
      </c>
      <c r="PR581">
        <v>0</v>
      </c>
      <c r="PS581">
        <v>0</v>
      </c>
      <c r="PT581">
        <v>0</v>
      </c>
      <c r="PU581">
        <v>0</v>
      </c>
      <c r="PV581">
        <v>0</v>
      </c>
      <c r="PW581">
        <v>0</v>
      </c>
      <c r="PX581">
        <v>0</v>
      </c>
      <c r="PY581">
        <v>0</v>
      </c>
      <c r="PZ581">
        <v>0</v>
      </c>
      <c r="QA581">
        <v>0</v>
      </c>
      <c r="QB581">
        <v>0</v>
      </c>
      <c r="QC581">
        <v>0</v>
      </c>
      <c r="QD581">
        <v>0</v>
      </c>
      <c r="QE581">
        <v>0</v>
      </c>
      <c r="QF581">
        <v>0</v>
      </c>
      <c r="QG581">
        <v>0</v>
      </c>
      <c r="QH581">
        <v>0</v>
      </c>
      <c r="QI581">
        <v>0</v>
      </c>
      <c r="QJ581">
        <v>0</v>
      </c>
      <c r="QK581">
        <v>0</v>
      </c>
      <c r="QL581">
        <v>0</v>
      </c>
      <c r="QM581">
        <v>0</v>
      </c>
      <c r="QN581">
        <v>0</v>
      </c>
      <c r="QO581">
        <v>0</v>
      </c>
      <c r="QP581">
        <v>0</v>
      </c>
      <c r="QQ581">
        <v>0</v>
      </c>
      <c r="QR581">
        <v>0</v>
      </c>
      <c r="QS581">
        <v>0</v>
      </c>
      <c r="QT581">
        <v>0</v>
      </c>
      <c r="QU581">
        <v>0</v>
      </c>
      <c r="QV581">
        <v>0</v>
      </c>
      <c r="QW581">
        <v>0</v>
      </c>
      <c r="QX581">
        <v>0</v>
      </c>
      <c r="QY581">
        <v>0</v>
      </c>
    </row>
    <row r="582" spans="1:467" hidden="1" x14ac:dyDescent="0.4">
      <c r="A582" t="str">
        <f>"9784910413082"</f>
        <v>9784910413082</v>
      </c>
      <c r="B582" t="str">
        <f>"4910413081"</f>
        <v>4910413081</v>
      </c>
      <c r="C582" t="s">
        <v>2987</v>
      </c>
      <c r="D582" t="s">
        <v>2988</v>
      </c>
      <c r="E582" t="s">
        <v>2989</v>
      </c>
      <c r="G582" t="str">
        <f>"0095"</f>
        <v>0095</v>
      </c>
      <c r="H582" t="s">
        <v>481</v>
      </c>
      <c r="I582" t="s">
        <v>1893</v>
      </c>
      <c r="J582" t="s">
        <v>509</v>
      </c>
      <c r="L582" s="1">
        <v>44862</v>
      </c>
      <c r="M582">
        <v>2200</v>
      </c>
      <c r="N582">
        <v>6</v>
      </c>
      <c r="O582">
        <v>5</v>
      </c>
      <c r="P582">
        <v>6</v>
      </c>
      <c r="Q582">
        <v>5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1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1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1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2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0</v>
      </c>
      <c r="MK582">
        <v>0</v>
      </c>
      <c r="ML582">
        <v>0</v>
      </c>
      <c r="MM582">
        <v>0</v>
      </c>
      <c r="MN582">
        <v>0</v>
      </c>
      <c r="MO582">
        <v>0</v>
      </c>
      <c r="MP582">
        <v>0</v>
      </c>
      <c r="MQ582">
        <v>0</v>
      </c>
      <c r="MR582">
        <v>0</v>
      </c>
      <c r="MS582">
        <v>0</v>
      </c>
      <c r="MT582">
        <v>0</v>
      </c>
      <c r="MU582">
        <v>0</v>
      </c>
      <c r="MV582">
        <v>0</v>
      </c>
      <c r="MW582">
        <v>0</v>
      </c>
      <c r="MX582">
        <v>0</v>
      </c>
      <c r="MY582">
        <v>0</v>
      </c>
      <c r="MZ582">
        <v>0</v>
      </c>
      <c r="NA582">
        <v>0</v>
      </c>
      <c r="NB582">
        <v>0</v>
      </c>
      <c r="NC582">
        <v>0</v>
      </c>
      <c r="ND582">
        <v>0</v>
      </c>
      <c r="NE582">
        <v>0</v>
      </c>
      <c r="NF582">
        <v>0</v>
      </c>
      <c r="NG582">
        <v>0</v>
      </c>
      <c r="NH582">
        <v>0</v>
      </c>
      <c r="NI582">
        <v>0</v>
      </c>
      <c r="NJ582">
        <v>0</v>
      </c>
      <c r="NK582">
        <v>0</v>
      </c>
      <c r="NL582">
        <v>0</v>
      </c>
      <c r="NM582">
        <v>0</v>
      </c>
      <c r="NN582">
        <v>0</v>
      </c>
      <c r="NO582">
        <v>0</v>
      </c>
      <c r="NP582">
        <v>0</v>
      </c>
      <c r="NQ582">
        <v>0</v>
      </c>
      <c r="NR582">
        <v>0</v>
      </c>
      <c r="NS582">
        <v>0</v>
      </c>
      <c r="NT582">
        <v>0</v>
      </c>
      <c r="NU582">
        <v>0</v>
      </c>
      <c r="NV582">
        <v>0</v>
      </c>
      <c r="NW582">
        <v>0</v>
      </c>
      <c r="NX582">
        <v>0</v>
      </c>
      <c r="NY582">
        <v>0</v>
      </c>
      <c r="NZ582">
        <v>0</v>
      </c>
      <c r="OA582">
        <v>0</v>
      </c>
      <c r="OB582">
        <v>0</v>
      </c>
      <c r="OC582">
        <v>0</v>
      </c>
      <c r="OD582">
        <v>0</v>
      </c>
      <c r="OE582">
        <v>0</v>
      </c>
      <c r="OF582">
        <v>0</v>
      </c>
      <c r="OG582">
        <v>0</v>
      </c>
      <c r="OH582">
        <v>0</v>
      </c>
      <c r="OI582">
        <v>0</v>
      </c>
      <c r="OJ582">
        <v>0</v>
      </c>
      <c r="OK582">
        <v>0</v>
      </c>
      <c r="OL582">
        <v>0</v>
      </c>
      <c r="OM582">
        <v>0</v>
      </c>
      <c r="ON582">
        <v>0</v>
      </c>
      <c r="OO582">
        <v>0</v>
      </c>
      <c r="OP582">
        <v>0</v>
      </c>
      <c r="OQ582">
        <v>0</v>
      </c>
      <c r="OR582">
        <v>0</v>
      </c>
      <c r="OS582">
        <v>0</v>
      </c>
      <c r="OT582">
        <v>0</v>
      </c>
      <c r="OU582">
        <v>0</v>
      </c>
      <c r="OV582">
        <v>0</v>
      </c>
      <c r="OW582">
        <v>0</v>
      </c>
      <c r="OX582">
        <v>0</v>
      </c>
      <c r="OY582">
        <v>0</v>
      </c>
      <c r="OZ582">
        <v>0</v>
      </c>
      <c r="PA582">
        <v>0</v>
      </c>
      <c r="PB582">
        <v>0</v>
      </c>
      <c r="PC582">
        <v>0</v>
      </c>
      <c r="PD582">
        <v>0</v>
      </c>
      <c r="PE582">
        <v>0</v>
      </c>
      <c r="PF582">
        <v>0</v>
      </c>
      <c r="PG582">
        <v>0</v>
      </c>
      <c r="PH582">
        <v>0</v>
      </c>
      <c r="PI582">
        <v>0</v>
      </c>
      <c r="PJ582">
        <v>0</v>
      </c>
      <c r="PK582">
        <v>0</v>
      </c>
      <c r="PL582">
        <v>0</v>
      </c>
      <c r="PM582">
        <v>0</v>
      </c>
      <c r="PN582">
        <v>0</v>
      </c>
      <c r="PO582">
        <v>0</v>
      </c>
      <c r="PP582">
        <v>0</v>
      </c>
      <c r="PQ582">
        <v>0</v>
      </c>
      <c r="PR582">
        <v>0</v>
      </c>
      <c r="PS582">
        <v>0</v>
      </c>
      <c r="PT582">
        <v>0</v>
      </c>
      <c r="PU582">
        <v>0</v>
      </c>
      <c r="PV582">
        <v>0</v>
      </c>
      <c r="PW582">
        <v>0</v>
      </c>
      <c r="PX582">
        <v>0</v>
      </c>
      <c r="PY582">
        <v>0</v>
      </c>
      <c r="PZ582">
        <v>0</v>
      </c>
      <c r="QA582">
        <v>0</v>
      </c>
      <c r="QB582">
        <v>0</v>
      </c>
      <c r="QC582">
        <v>0</v>
      </c>
      <c r="QD582">
        <v>0</v>
      </c>
      <c r="QE582">
        <v>0</v>
      </c>
      <c r="QF582">
        <v>0</v>
      </c>
      <c r="QG582">
        <v>0</v>
      </c>
      <c r="QH582">
        <v>0</v>
      </c>
      <c r="QI582">
        <v>0</v>
      </c>
      <c r="QJ582">
        <v>0</v>
      </c>
      <c r="QK582">
        <v>0</v>
      </c>
      <c r="QL582">
        <v>0</v>
      </c>
      <c r="QM582">
        <v>0</v>
      </c>
      <c r="QN582">
        <v>0</v>
      </c>
      <c r="QO582">
        <v>0</v>
      </c>
      <c r="QP582">
        <v>0</v>
      </c>
      <c r="QQ582">
        <v>0</v>
      </c>
      <c r="QR582">
        <v>0</v>
      </c>
      <c r="QS582">
        <v>0</v>
      </c>
      <c r="QT582">
        <v>0</v>
      </c>
      <c r="QU582">
        <v>0</v>
      </c>
      <c r="QV582">
        <v>0</v>
      </c>
      <c r="QW582">
        <v>0</v>
      </c>
      <c r="QX582">
        <v>0</v>
      </c>
      <c r="QY582">
        <v>0</v>
      </c>
    </row>
    <row r="583" spans="1:467" hidden="1" x14ac:dyDescent="0.4">
      <c r="A583" t="str">
        <f>"9784058018989"</f>
        <v>9784058018989</v>
      </c>
      <c r="B583" t="str">
        <f>"4058018984"</f>
        <v>4058018984</v>
      </c>
      <c r="C583" t="s">
        <v>2990</v>
      </c>
      <c r="D583" t="s">
        <v>2198</v>
      </c>
      <c r="E583" t="s">
        <v>2199</v>
      </c>
      <c r="G583" t="str">
        <f>"0326"</f>
        <v>0326</v>
      </c>
      <c r="H583" t="s">
        <v>481</v>
      </c>
      <c r="I583" t="s">
        <v>1877</v>
      </c>
      <c r="J583" t="s">
        <v>2110</v>
      </c>
      <c r="L583" s="1">
        <v>44854</v>
      </c>
      <c r="M583">
        <v>1800</v>
      </c>
      <c r="N583">
        <v>6</v>
      </c>
      <c r="O583">
        <v>6</v>
      </c>
      <c r="P583">
        <v>6</v>
      </c>
      <c r="Q583">
        <v>6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1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1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1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1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1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</v>
      </c>
      <c r="MK583">
        <v>0</v>
      </c>
      <c r="ML583">
        <v>0</v>
      </c>
      <c r="MM583">
        <v>0</v>
      </c>
      <c r="MN583">
        <v>0</v>
      </c>
      <c r="MO583">
        <v>0</v>
      </c>
      <c r="MP583">
        <v>0</v>
      </c>
      <c r="MQ583">
        <v>0</v>
      </c>
      <c r="MR583">
        <v>0</v>
      </c>
      <c r="MS583">
        <v>0</v>
      </c>
      <c r="MT583">
        <v>0</v>
      </c>
      <c r="MU583">
        <v>0</v>
      </c>
      <c r="MV583">
        <v>0</v>
      </c>
      <c r="MW583">
        <v>0</v>
      </c>
      <c r="MX583">
        <v>0</v>
      </c>
      <c r="MY583">
        <v>0</v>
      </c>
      <c r="MZ583">
        <v>0</v>
      </c>
      <c r="NA583">
        <v>0</v>
      </c>
      <c r="NB583">
        <v>0</v>
      </c>
      <c r="NC583">
        <v>0</v>
      </c>
      <c r="ND583">
        <v>0</v>
      </c>
      <c r="NE583">
        <v>0</v>
      </c>
      <c r="NF583">
        <v>0</v>
      </c>
      <c r="NG583">
        <v>0</v>
      </c>
      <c r="NH583">
        <v>0</v>
      </c>
      <c r="NI583">
        <v>0</v>
      </c>
      <c r="NJ583">
        <v>0</v>
      </c>
      <c r="NK583">
        <v>0</v>
      </c>
      <c r="NL583">
        <v>0</v>
      </c>
      <c r="NM583">
        <v>0</v>
      </c>
      <c r="NN583">
        <v>0</v>
      </c>
      <c r="NO583">
        <v>0</v>
      </c>
      <c r="NP583">
        <v>0</v>
      </c>
      <c r="NQ583">
        <v>0</v>
      </c>
      <c r="NR583">
        <v>0</v>
      </c>
      <c r="NS583">
        <v>0</v>
      </c>
      <c r="NT583">
        <v>0</v>
      </c>
      <c r="NU583">
        <v>0</v>
      </c>
      <c r="NV583">
        <v>0</v>
      </c>
      <c r="NW583">
        <v>0</v>
      </c>
      <c r="NX583">
        <v>0</v>
      </c>
      <c r="NY583">
        <v>1</v>
      </c>
      <c r="NZ583">
        <v>0</v>
      </c>
      <c r="OA583">
        <v>0</v>
      </c>
      <c r="OB583">
        <v>0</v>
      </c>
      <c r="OC583">
        <v>0</v>
      </c>
      <c r="OD583">
        <v>0</v>
      </c>
      <c r="OE583">
        <v>0</v>
      </c>
      <c r="OF583">
        <v>0</v>
      </c>
      <c r="OG583">
        <v>0</v>
      </c>
      <c r="OH583">
        <v>0</v>
      </c>
      <c r="OI583">
        <v>0</v>
      </c>
      <c r="OJ583">
        <v>0</v>
      </c>
      <c r="OK583">
        <v>0</v>
      </c>
      <c r="OL583">
        <v>0</v>
      </c>
      <c r="OM583">
        <v>0</v>
      </c>
      <c r="ON583">
        <v>0</v>
      </c>
      <c r="OO583">
        <v>0</v>
      </c>
      <c r="OP583">
        <v>0</v>
      </c>
      <c r="OQ583">
        <v>0</v>
      </c>
      <c r="OR583">
        <v>0</v>
      </c>
      <c r="OS583">
        <v>0</v>
      </c>
      <c r="OT583">
        <v>0</v>
      </c>
      <c r="OU583">
        <v>0</v>
      </c>
      <c r="OV583">
        <v>0</v>
      </c>
      <c r="OW583">
        <v>0</v>
      </c>
      <c r="OX583">
        <v>0</v>
      </c>
      <c r="OY583">
        <v>0</v>
      </c>
      <c r="OZ583">
        <v>0</v>
      </c>
      <c r="PA583">
        <v>0</v>
      </c>
      <c r="PB583">
        <v>0</v>
      </c>
      <c r="PC583">
        <v>0</v>
      </c>
      <c r="PD583">
        <v>0</v>
      </c>
      <c r="PE583">
        <v>0</v>
      </c>
      <c r="PF583">
        <v>0</v>
      </c>
      <c r="PG583">
        <v>0</v>
      </c>
      <c r="PH583">
        <v>0</v>
      </c>
      <c r="PI583">
        <v>0</v>
      </c>
      <c r="PJ583">
        <v>0</v>
      </c>
      <c r="PK583">
        <v>0</v>
      </c>
      <c r="PL583">
        <v>0</v>
      </c>
      <c r="PM583">
        <v>0</v>
      </c>
      <c r="PN583">
        <v>0</v>
      </c>
      <c r="PO583">
        <v>0</v>
      </c>
      <c r="PP583">
        <v>0</v>
      </c>
      <c r="PQ583">
        <v>0</v>
      </c>
      <c r="PR583">
        <v>0</v>
      </c>
      <c r="PS583">
        <v>0</v>
      </c>
      <c r="PT583">
        <v>0</v>
      </c>
      <c r="PU583">
        <v>0</v>
      </c>
      <c r="PV583">
        <v>0</v>
      </c>
      <c r="PW583">
        <v>0</v>
      </c>
      <c r="PX583">
        <v>0</v>
      </c>
      <c r="PY583">
        <v>0</v>
      </c>
      <c r="PZ583">
        <v>0</v>
      </c>
      <c r="QA583">
        <v>0</v>
      </c>
      <c r="QB583">
        <v>0</v>
      </c>
      <c r="QC583">
        <v>0</v>
      </c>
      <c r="QD583">
        <v>0</v>
      </c>
      <c r="QE583">
        <v>0</v>
      </c>
      <c r="QF583">
        <v>0</v>
      </c>
      <c r="QG583">
        <v>0</v>
      </c>
      <c r="QH583">
        <v>0</v>
      </c>
      <c r="QI583">
        <v>0</v>
      </c>
      <c r="QJ583">
        <v>0</v>
      </c>
      <c r="QK583">
        <v>0</v>
      </c>
      <c r="QL583">
        <v>0</v>
      </c>
      <c r="QM583">
        <v>0</v>
      </c>
      <c r="QN583">
        <v>0</v>
      </c>
      <c r="QO583">
        <v>0</v>
      </c>
      <c r="QP583">
        <v>0</v>
      </c>
      <c r="QQ583">
        <v>0</v>
      </c>
      <c r="QR583">
        <v>0</v>
      </c>
      <c r="QS583">
        <v>0</v>
      </c>
      <c r="QT583">
        <v>0</v>
      </c>
      <c r="QU583">
        <v>0</v>
      </c>
      <c r="QV583">
        <v>0</v>
      </c>
      <c r="QW583">
        <v>0</v>
      </c>
      <c r="QX583">
        <v>0</v>
      </c>
      <c r="QY583">
        <v>0</v>
      </c>
    </row>
    <row r="584" spans="1:467" hidden="1" x14ac:dyDescent="0.4">
      <c r="A584" t="str">
        <f>"9784163915609"</f>
        <v>9784163915609</v>
      </c>
      <c r="B584" t="str">
        <f>"4163915605"</f>
        <v>4163915605</v>
      </c>
      <c r="C584" t="s">
        <v>2991</v>
      </c>
      <c r="D584" t="s">
        <v>2992</v>
      </c>
      <c r="E584" t="s">
        <v>639</v>
      </c>
      <c r="G584" t="str">
        <f>"0095"</f>
        <v>0095</v>
      </c>
      <c r="H584" t="s">
        <v>481</v>
      </c>
      <c r="I584" t="s">
        <v>1893</v>
      </c>
      <c r="J584" t="s">
        <v>509</v>
      </c>
      <c r="L584" s="1">
        <v>44741</v>
      </c>
      <c r="M584">
        <v>1600</v>
      </c>
      <c r="N584">
        <v>6</v>
      </c>
      <c r="O584">
        <v>5</v>
      </c>
      <c r="P584">
        <v>6</v>
      </c>
      <c r="Q584">
        <v>5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2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1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1</v>
      </c>
      <c r="GV584">
        <v>0</v>
      </c>
      <c r="GW584">
        <v>0</v>
      </c>
      <c r="GX584">
        <v>0</v>
      </c>
      <c r="GY584">
        <v>1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0</v>
      </c>
      <c r="MN584">
        <v>0</v>
      </c>
      <c r="MO584">
        <v>0</v>
      </c>
      <c r="MP584">
        <v>0</v>
      </c>
      <c r="MQ584">
        <v>0</v>
      </c>
      <c r="MR584">
        <v>0</v>
      </c>
      <c r="MS584">
        <v>0</v>
      </c>
      <c r="MT584">
        <v>0</v>
      </c>
      <c r="MU584">
        <v>0</v>
      </c>
      <c r="MV584">
        <v>0</v>
      </c>
      <c r="MW584">
        <v>0</v>
      </c>
      <c r="MX584">
        <v>0</v>
      </c>
      <c r="MY584">
        <v>0</v>
      </c>
      <c r="MZ584">
        <v>0</v>
      </c>
      <c r="NA584">
        <v>0</v>
      </c>
      <c r="NB584">
        <v>0</v>
      </c>
      <c r="NC584">
        <v>0</v>
      </c>
      <c r="ND584">
        <v>0</v>
      </c>
      <c r="NE584">
        <v>0</v>
      </c>
      <c r="NF584">
        <v>0</v>
      </c>
      <c r="NG584">
        <v>0</v>
      </c>
      <c r="NH584">
        <v>0</v>
      </c>
      <c r="NI584">
        <v>0</v>
      </c>
      <c r="NJ584">
        <v>0</v>
      </c>
      <c r="NK584">
        <v>0</v>
      </c>
      <c r="NL584">
        <v>0</v>
      </c>
      <c r="NM584">
        <v>0</v>
      </c>
      <c r="NN584">
        <v>0</v>
      </c>
      <c r="NO584">
        <v>0</v>
      </c>
      <c r="NP584">
        <v>0</v>
      </c>
      <c r="NQ584">
        <v>0</v>
      </c>
      <c r="NR584">
        <v>0</v>
      </c>
      <c r="NS584">
        <v>0</v>
      </c>
      <c r="NT584">
        <v>0</v>
      </c>
      <c r="NU584">
        <v>0</v>
      </c>
      <c r="NV584">
        <v>0</v>
      </c>
      <c r="NW584">
        <v>0</v>
      </c>
      <c r="NX584">
        <v>0</v>
      </c>
      <c r="NY584">
        <v>0</v>
      </c>
      <c r="NZ584">
        <v>0</v>
      </c>
      <c r="OA584">
        <v>0</v>
      </c>
      <c r="OB584">
        <v>0</v>
      </c>
      <c r="OC584">
        <v>0</v>
      </c>
      <c r="OD584">
        <v>0</v>
      </c>
      <c r="OE584">
        <v>0</v>
      </c>
      <c r="OF584">
        <v>0</v>
      </c>
      <c r="OG584">
        <v>0</v>
      </c>
      <c r="OH584">
        <v>0</v>
      </c>
      <c r="OI584">
        <v>0</v>
      </c>
      <c r="OJ584">
        <v>0</v>
      </c>
      <c r="OK584">
        <v>0</v>
      </c>
      <c r="OL584">
        <v>0</v>
      </c>
      <c r="OM584">
        <v>0</v>
      </c>
      <c r="ON584">
        <v>0</v>
      </c>
      <c r="OO584">
        <v>0</v>
      </c>
      <c r="OP584">
        <v>0</v>
      </c>
      <c r="OQ584">
        <v>0</v>
      </c>
      <c r="OR584">
        <v>0</v>
      </c>
      <c r="OS584">
        <v>0</v>
      </c>
      <c r="OT584">
        <v>0</v>
      </c>
      <c r="OU584">
        <v>0</v>
      </c>
      <c r="OV584">
        <v>0</v>
      </c>
      <c r="OW584">
        <v>0</v>
      </c>
      <c r="OX584">
        <v>0</v>
      </c>
      <c r="OY584">
        <v>0</v>
      </c>
      <c r="OZ584">
        <v>0</v>
      </c>
      <c r="PA584">
        <v>0</v>
      </c>
      <c r="PB584">
        <v>0</v>
      </c>
      <c r="PC584">
        <v>0</v>
      </c>
      <c r="PD584">
        <v>0</v>
      </c>
      <c r="PE584">
        <v>0</v>
      </c>
      <c r="PF584">
        <v>0</v>
      </c>
      <c r="PG584">
        <v>0</v>
      </c>
      <c r="PH584">
        <v>0</v>
      </c>
      <c r="PI584">
        <v>0</v>
      </c>
      <c r="PJ584">
        <v>0</v>
      </c>
      <c r="PK584">
        <v>0</v>
      </c>
      <c r="PL584">
        <v>0</v>
      </c>
      <c r="PM584">
        <v>0</v>
      </c>
      <c r="PN584">
        <v>0</v>
      </c>
      <c r="PO584">
        <v>0</v>
      </c>
      <c r="PP584">
        <v>0</v>
      </c>
      <c r="PQ584">
        <v>0</v>
      </c>
      <c r="PR584">
        <v>0</v>
      </c>
      <c r="PS584">
        <v>0</v>
      </c>
      <c r="PT584">
        <v>0</v>
      </c>
      <c r="PU584">
        <v>0</v>
      </c>
      <c r="PV584">
        <v>0</v>
      </c>
      <c r="PW584">
        <v>0</v>
      </c>
      <c r="PX584">
        <v>0</v>
      </c>
      <c r="PY584">
        <v>0</v>
      </c>
      <c r="PZ584">
        <v>0</v>
      </c>
      <c r="QA584">
        <v>0</v>
      </c>
      <c r="QB584">
        <v>0</v>
      </c>
      <c r="QC584">
        <v>0</v>
      </c>
      <c r="QD584">
        <v>0</v>
      </c>
      <c r="QE584">
        <v>0</v>
      </c>
      <c r="QF584">
        <v>0</v>
      </c>
      <c r="QG584">
        <v>0</v>
      </c>
      <c r="QH584">
        <v>0</v>
      </c>
      <c r="QI584">
        <v>0</v>
      </c>
      <c r="QJ584">
        <v>0</v>
      </c>
      <c r="QK584">
        <v>1</v>
      </c>
      <c r="QL584">
        <v>0</v>
      </c>
      <c r="QM584">
        <v>0</v>
      </c>
      <c r="QN584">
        <v>0</v>
      </c>
      <c r="QO584">
        <v>0</v>
      </c>
      <c r="QP584">
        <v>0</v>
      </c>
      <c r="QQ584">
        <v>0</v>
      </c>
      <c r="QR584">
        <v>0</v>
      </c>
      <c r="QS584">
        <v>0</v>
      </c>
      <c r="QT584">
        <v>0</v>
      </c>
      <c r="QU584">
        <v>0</v>
      </c>
      <c r="QV584">
        <v>0</v>
      </c>
      <c r="QW584">
        <v>0</v>
      </c>
      <c r="QX584">
        <v>0</v>
      </c>
      <c r="QY584">
        <v>0</v>
      </c>
    </row>
    <row r="585" spans="1:467" x14ac:dyDescent="0.4">
      <c r="A585" t="str">
        <f>"9784088830674"</f>
        <v>9784088830674</v>
      </c>
      <c r="B585" t="str">
        <f>"4088830679"</f>
        <v>4088830679</v>
      </c>
      <c r="C585" t="s">
        <v>2993</v>
      </c>
      <c r="D585" t="s">
        <v>1900</v>
      </c>
      <c r="E585" t="s">
        <v>536</v>
      </c>
      <c r="F585" t="s">
        <v>1854</v>
      </c>
      <c r="G585" t="str">
        <f>"9979"</f>
        <v>9979</v>
      </c>
      <c r="H585" t="s">
        <v>1855</v>
      </c>
      <c r="I585" t="s">
        <v>1856</v>
      </c>
      <c r="J585" t="s">
        <v>1856</v>
      </c>
      <c r="L585" s="1">
        <v>44655</v>
      </c>
      <c r="M585">
        <v>440</v>
      </c>
      <c r="N585">
        <v>6</v>
      </c>
      <c r="O585">
        <v>6</v>
      </c>
      <c r="P585">
        <v>6</v>
      </c>
      <c r="Q585">
        <v>6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1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1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1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1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1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0</v>
      </c>
      <c r="MK585">
        <v>0</v>
      </c>
      <c r="ML585">
        <v>0</v>
      </c>
      <c r="MM585">
        <v>0</v>
      </c>
      <c r="MN585">
        <v>0</v>
      </c>
      <c r="MO585">
        <v>0</v>
      </c>
      <c r="MP585">
        <v>0</v>
      </c>
      <c r="MQ585">
        <v>0</v>
      </c>
      <c r="MR585">
        <v>0</v>
      </c>
      <c r="MS585">
        <v>0</v>
      </c>
      <c r="MT585">
        <v>0</v>
      </c>
      <c r="MU585">
        <v>0</v>
      </c>
      <c r="MV585">
        <v>0</v>
      </c>
      <c r="MW585">
        <v>0</v>
      </c>
      <c r="MX585">
        <v>0</v>
      </c>
      <c r="MY585">
        <v>0</v>
      </c>
      <c r="MZ585">
        <v>0</v>
      </c>
      <c r="NA585">
        <v>0</v>
      </c>
      <c r="NB585">
        <v>0</v>
      </c>
      <c r="NC585">
        <v>0</v>
      </c>
      <c r="ND585">
        <v>0</v>
      </c>
      <c r="NE585">
        <v>0</v>
      </c>
      <c r="NF585">
        <v>0</v>
      </c>
      <c r="NG585">
        <v>0</v>
      </c>
      <c r="NH585">
        <v>0</v>
      </c>
      <c r="NI585">
        <v>0</v>
      </c>
      <c r="NJ585">
        <v>0</v>
      </c>
      <c r="NK585">
        <v>0</v>
      </c>
      <c r="NL585">
        <v>0</v>
      </c>
      <c r="NM585">
        <v>0</v>
      </c>
      <c r="NN585">
        <v>0</v>
      </c>
      <c r="NO585">
        <v>0</v>
      </c>
      <c r="NP585">
        <v>0</v>
      </c>
      <c r="NQ585">
        <v>0</v>
      </c>
      <c r="NR585">
        <v>0</v>
      </c>
      <c r="NS585">
        <v>0</v>
      </c>
      <c r="NT585">
        <v>0</v>
      </c>
      <c r="NU585">
        <v>0</v>
      </c>
      <c r="NV585">
        <v>0</v>
      </c>
      <c r="NW585">
        <v>0</v>
      </c>
      <c r="NX585">
        <v>0</v>
      </c>
      <c r="NY585">
        <v>0</v>
      </c>
      <c r="NZ585">
        <v>0</v>
      </c>
      <c r="OA585">
        <v>0</v>
      </c>
      <c r="OB585">
        <v>0</v>
      </c>
      <c r="OC585">
        <v>0</v>
      </c>
      <c r="OD585">
        <v>0</v>
      </c>
      <c r="OE585">
        <v>0</v>
      </c>
      <c r="OF585">
        <v>0</v>
      </c>
      <c r="OG585">
        <v>0</v>
      </c>
      <c r="OH585">
        <v>0</v>
      </c>
      <c r="OI585">
        <v>0</v>
      </c>
      <c r="OJ585">
        <v>0</v>
      </c>
      <c r="OK585">
        <v>0</v>
      </c>
      <c r="OL585">
        <v>0</v>
      </c>
      <c r="OM585">
        <v>0</v>
      </c>
      <c r="ON585">
        <v>0</v>
      </c>
      <c r="OO585">
        <v>0</v>
      </c>
      <c r="OP585">
        <v>0</v>
      </c>
      <c r="OQ585">
        <v>0</v>
      </c>
      <c r="OR585">
        <v>0</v>
      </c>
      <c r="OS585">
        <v>0</v>
      </c>
      <c r="OT585">
        <v>0</v>
      </c>
      <c r="OU585">
        <v>0</v>
      </c>
      <c r="OV585">
        <v>0</v>
      </c>
      <c r="OW585">
        <v>0</v>
      </c>
      <c r="OX585">
        <v>0</v>
      </c>
      <c r="OY585">
        <v>0</v>
      </c>
      <c r="OZ585">
        <v>0</v>
      </c>
      <c r="PA585">
        <v>0</v>
      </c>
      <c r="PB585">
        <v>0</v>
      </c>
      <c r="PC585">
        <v>0</v>
      </c>
      <c r="PD585">
        <v>0</v>
      </c>
      <c r="PE585">
        <v>0</v>
      </c>
      <c r="PF585">
        <v>0</v>
      </c>
      <c r="PG585">
        <v>0</v>
      </c>
      <c r="PH585">
        <v>0</v>
      </c>
      <c r="PI585">
        <v>0</v>
      </c>
      <c r="PJ585">
        <v>0</v>
      </c>
      <c r="PK585">
        <v>0</v>
      </c>
      <c r="PL585">
        <v>0</v>
      </c>
      <c r="PM585">
        <v>0</v>
      </c>
      <c r="PN585">
        <v>0</v>
      </c>
      <c r="PO585">
        <v>0</v>
      </c>
      <c r="PP585">
        <v>0</v>
      </c>
      <c r="PQ585">
        <v>0</v>
      </c>
      <c r="PR585">
        <v>0</v>
      </c>
      <c r="PS585">
        <v>0</v>
      </c>
      <c r="PT585">
        <v>0</v>
      </c>
      <c r="PU585">
        <v>0</v>
      </c>
      <c r="PV585">
        <v>0</v>
      </c>
      <c r="PW585">
        <v>0</v>
      </c>
      <c r="PX585">
        <v>0</v>
      </c>
      <c r="PY585">
        <v>0</v>
      </c>
      <c r="PZ585">
        <v>0</v>
      </c>
      <c r="QA585">
        <v>0</v>
      </c>
      <c r="QB585">
        <v>0</v>
      </c>
      <c r="QC585">
        <v>0</v>
      </c>
      <c r="QD585">
        <v>0</v>
      </c>
      <c r="QE585">
        <v>0</v>
      </c>
      <c r="QF585">
        <v>0</v>
      </c>
      <c r="QG585">
        <v>0</v>
      </c>
      <c r="QH585">
        <v>0</v>
      </c>
      <c r="QI585">
        <v>0</v>
      </c>
      <c r="QJ585">
        <v>0</v>
      </c>
      <c r="QK585">
        <v>0</v>
      </c>
      <c r="QL585">
        <v>0</v>
      </c>
      <c r="QM585">
        <v>0</v>
      </c>
      <c r="QN585">
        <v>0</v>
      </c>
      <c r="QO585">
        <v>0</v>
      </c>
      <c r="QP585">
        <v>0</v>
      </c>
      <c r="QQ585">
        <v>0</v>
      </c>
      <c r="QR585">
        <v>0</v>
      </c>
      <c r="QS585">
        <v>0</v>
      </c>
      <c r="QT585">
        <v>0</v>
      </c>
      <c r="QU585">
        <v>0</v>
      </c>
      <c r="QV585">
        <v>0</v>
      </c>
      <c r="QW585">
        <v>0</v>
      </c>
      <c r="QX585">
        <v>0</v>
      </c>
      <c r="QY585">
        <v>0</v>
      </c>
    </row>
    <row r="586" spans="1:467" hidden="1" x14ac:dyDescent="0.4">
      <c r="A586" t="str">
        <f>"9784065302941"</f>
        <v>9784065302941</v>
      </c>
      <c r="B586" t="str">
        <f>"4065302943"</f>
        <v>4065302943</v>
      </c>
      <c r="C586" t="s">
        <v>2994</v>
      </c>
      <c r="D586" t="s">
        <v>2995</v>
      </c>
      <c r="E586" t="s">
        <v>2996</v>
      </c>
      <c r="F586" t="s">
        <v>2997</v>
      </c>
      <c r="G586" t="str">
        <f>"9426"</f>
        <v>9426</v>
      </c>
      <c r="H586" t="s">
        <v>1855</v>
      </c>
      <c r="I586" t="s">
        <v>1884</v>
      </c>
      <c r="J586" t="s">
        <v>2110</v>
      </c>
      <c r="L586" s="1">
        <v>44907</v>
      </c>
      <c r="M586">
        <v>1800</v>
      </c>
      <c r="N586">
        <v>6</v>
      </c>
      <c r="O586">
        <v>6</v>
      </c>
      <c r="P586">
        <v>6</v>
      </c>
      <c r="Q586">
        <v>6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1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1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1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1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1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1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  <c r="MN586">
        <v>0</v>
      </c>
      <c r="MO586">
        <v>0</v>
      </c>
      <c r="MP586">
        <v>0</v>
      </c>
      <c r="MQ586">
        <v>0</v>
      </c>
      <c r="MR586">
        <v>0</v>
      </c>
      <c r="MS586">
        <v>0</v>
      </c>
      <c r="MT586">
        <v>0</v>
      </c>
      <c r="MU586">
        <v>0</v>
      </c>
      <c r="MV586">
        <v>0</v>
      </c>
      <c r="MW586">
        <v>0</v>
      </c>
      <c r="MX586">
        <v>0</v>
      </c>
      <c r="MY586">
        <v>0</v>
      </c>
      <c r="MZ586">
        <v>0</v>
      </c>
      <c r="NA586">
        <v>0</v>
      </c>
      <c r="NB586">
        <v>0</v>
      </c>
      <c r="NC586">
        <v>0</v>
      </c>
      <c r="ND586">
        <v>0</v>
      </c>
      <c r="NE586">
        <v>0</v>
      </c>
      <c r="NF586">
        <v>0</v>
      </c>
      <c r="NG586">
        <v>0</v>
      </c>
      <c r="NH586">
        <v>0</v>
      </c>
      <c r="NI586">
        <v>0</v>
      </c>
      <c r="NJ586">
        <v>0</v>
      </c>
      <c r="NK586">
        <v>0</v>
      </c>
      <c r="NL586">
        <v>0</v>
      </c>
      <c r="NM586">
        <v>0</v>
      </c>
      <c r="NN586">
        <v>0</v>
      </c>
      <c r="NO586">
        <v>0</v>
      </c>
      <c r="NP586">
        <v>0</v>
      </c>
      <c r="NQ586">
        <v>0</v>
      </c>
      <c r="NR586">
        <v>0</v>
      </c>
      <c r="NS586">
        <v>0</v>
      </c>
      <c r="NT586">
        <v>0</v>
      </c>
      <c r="NU586">
        <v>0</v>
      </c>
      <c r="NV586">
        <v>0</v>
      </c>
      <c r="NW586">
        <v>0</v>
      </c>
      <c r="NX586">
        <v>0</v>
      </c>
      <c r="NY586">
        <v>0</v>
      </c>
      <c r="NZ586">
        <v>0</v>
      </c>
      <c r="OA586">
        <v>0</v>
      </c>
      <c r="OB586">
        <v>0</v>
      </c>
      <c r="OC586">
        <v>0</v>
      </c>
      <c r="OD586">
        <v>0</v>
      </c>
      <c r="OE586">
        <v>0</v>
      </c>
      <c r="OF586">
        <v>0</v>
      </c>
      <c r="OG586">
        <v>0</v>
      </c>
      <c r="OH586">
        <v>0</v>
      </c>
      <c r="OI586">
        <v>0</v>
      </c>
      <c r="OJ586">
        <v>0</v>
      </c>
      <c r="OK586">
        <v>0</v>
      </c>
      <c r="OL586">
        <v>0</v>
      </c>
      <c r="OM586">
        <v>0</v>
      </c>
      <c r="ON586">
        <v>0</v>
      </c>
      <c r="OO586">
        <v>0</v>
      </c>
      <c r="OP586">
        <v>0</v>
      </c>
      <c r="OQ586">
        <v>0</v>
      </c>
      <c r="OR586">
        <v>0</v>
      </c>
      <c r="OS586">
        <v>0</v>
      </c>
      <c r="OT586">
        <v>0</v>
      </c>
      <c r="OU586">
        <v>0</v>
      </c>
      <c r="OV586">
        <v>0</v>
      </c>
      <c r="OW586">
        <v>0</v>
      </c>
      <c r="OX586">
        <v>0</v>
      </c>
      <c r="OY586">
        <v>0</v>
      </c>
      <c r="OZ586">
        <v>0</v>
      </c>
      <c r="PA586">
        <v>0</v>
      </c>
      <c r="PB586">
        <v>0</v>
      </c>
      <c r="PC586">
        <v>0</v>
      </c>
      <c r="PD586">
        <v>0</v>
      </c>
      <c r="PE586">
        <v>0</v>
      </c>
      <c r="PF586">
        <v>0</v>
      </c>
      <c r="PG586">
        <v>0</v>
      </c>
      <c r="PH586">
        <v>0</v>
      </c>
      <c r="PI586">
        <v>0</v>
      </c>
      <c r="PJ586">
        <v>0</v>
      </c>
      <c r="PK586">
        <v>0</v>
      </c>
      <c r="PL586">
        <v>0</v>
      </c>
      <c r="PM586">
        <v>0</v>
      </c>
      <c r="PN586">
        <v>0</v>
      </c>
      <c r="PO586">
        <v>0</v>
      </c>
      <c r="PP586">
        <v>0</v>
      </c>
      <c r="PQ586">
        <v>0</v>
      </c>
      <c r="PR586">
        <v>0</v>
      </c>
      <c r="PS586">
        <v>0</v>
      </c>
      <c r="PT586">
        <v>0</v>
      </c>
      <c r="PU586">
        <v>0</v>
      </c>
      <c r="PV586">
        <v>0</v>
      </c>
      <c r="PW586">
        <v>0</v>
      </c>
      <c r="PX586">
        <v>0</v>
      </c>
      <c r="PY586">
        <v>0</v>
      </c>
      <c r="PZ586">
        <v>0</v>
      </c>
      <c r="QA586">
        <v>0</v>
      </c>
      <c r="QB586">
        <v>0</v>
      </c>
      <c r="QC586">
        <v>0</v>
      </c>
      <c r="QD586">
        <v>0</v>
      </c>
      <c r="QE586">
        <v>0</v>
      </c>
      <c r="QF586">
        <v>0</v>
      </c>
      <c r="QG586">
        <v>0</v>
      </c>
      <c r="QH586">
        <v>0</v>
      </c>
      <c r="QI586">
        <v>0</v>
      </c>
      <c r="QJ586">
        <v>0</v>
      </c>
      <c r="QK586">
        <v>0</v>
      </c>
      <c r="QL586">
        <v>0</v>
      </c>
      <c r="QM586">
        <v>0</v>
      </c>
      <c r="QN586">
        <v>0</v>
      </c>
      <c r="QO586">
        <v>0</v>
      </c>
      <c r="QP586">
        <v>0</v>
      </c>
      <c r="QQ586">
        <v>0</v>
      </c>
      <c r="QR586">
        <v>0</v>
      </c>
      <c r="QS586">
        <v>0</v>
      </c>
      <c r="QT586">
        <v>0</v>
      </c>
      <c r="QU586">
        <v>0</v>
      </c>
      <c r="QV586">
        <v>0</v>
      </c>
      <c r="QW586">
        <v>0</v>
      </c>
      <c r="QX586">
        <v>0</v>
      </c>
      <c r="QY586">
        <v>0</v>
      </c>
    </row>
  </sheetData>
  <autoFilter ref="A8:QY586" xr:uid="{00000000-0009-0000-0000-000001000000}">
    <filterColumn colId="8">
      <filters>
        <filter val="コミック"/>
      </filters>
    </filterColumn>
  </autoFilter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I101"/>
  <sheetViews>
    <sheetView tabSelected="1" workbookViewId="0">
      <selection activeCell="N10" sqref="N10"/>
    </sheetView>
  </sheetViews>
  <sheetFormatPr defaultRowHeight="18.75" x14ac:dyDescent="0.4"/>
  <cols>
    <col min="1" max="1" width="4.625" bestFit="1" customWidth="1"/>
    <col min="2" max="2" width="14.25" bestFit="1" customWidth="1"/>
    <col min="3" max="3" width="24.875" customWidth="1"/>
    <col min="4" max="4" width="14" customWidth="1"/>
    <col min="5" max="5" width="11" customWidth="1"/>
    <col min="8" max="8" width="11.75" customWidth="1"/>
  </cols>
  <sheetData>
    <row r="1" spans="1:9" x14ac:dyDescent="0.4">
      <c r="A1" s="4" t="s">
        <v>3281</v>
      </c>
      <c r="B1" s="4" t="s">
        <v>7</v>
      </c>
      <c r="C1" s="4" t="s">
        <v>9</v>
      </c>
      <c r="D1" s="4" t="s">
        <v>10</v>
      </c>
      <c r="E1" s="4" t="s">
        <v>13</v>
      </c>
      <c r="F1" s="4" t="s">
        <v>16</v>
      </c>
      <c r="G1" s="4" t="s">
        <v>17</v>
      </c>
      <c r="H1" s="4" t="s">
        <v>18</v>
      </c>
      <c r="I1" s="4" t="s">
        <v>19</v>
      </c>
    </row>
    <row r="2" spans="1:9" x14ac:dyDescent="0.4">
      <c r="A2" s="2">
        <v>1</v>
      </c>
      <c r="B2" s="2" t="s">
        <v>3098</v>
      </c>
      <c r="C2" s="2" t="s">
        <v>495</v>
      </c>
      <c r="D2" s="2" t="s">
        <v>496</v>
      </c>
      <c r="E2" s="2" t="s">
        <v>498</v>
      </c>
      <c r="F2" s="2" t="s">
        <v>487</v>
      </c>
      <c r="G2" s="2" t="s">
        <v>488</v>
      </c>
      <c r="H2" s="3">
        <v>44810</v>
      </c>
      <c r="I2" s="2">
        <v>810</v>
      </c>
    </row>
    <row r="3" spans="1:9" x14ac:dyDescent="0.4">
      <c r="A3" s="2">
        <v>2</v>
      </c>
      <c r="B3" s="2" t="s">
        <v>3099</v>
      </c>
      <c r="C3" s="2" t="s">
        <v>518</v>
      </c>
      <c r="D3" s="2" t="s">
        <v>519</v>
      </c>
      <c r="E3" s="2" t="s">
        <v>521</v>
      </c>
      <c r="F3" s="2" t="s">
        <v>487</v>
      </c>
      <c r="G3" s="2" t="s">
        <v>522</v>
      </c>
      <c r="H3" s="3">
        <v>44940</v>
      </c>
      <c r="I3" s="2">
        <v>1620</v>
      </c>
    </row>
    <row r="4" spans="1:9" x14ac:dyDescent="0.4">
      <c r="A4" s="2">
        <v>3</v>
      </c>
      <c r="B4" s="2" t="s">
        <v>3100</v>
      </c>
      <c r="C4" s="2" t="s">
        <v>542</v>
      </c>
      <c r="D4" s="2" t="s">
        <v>543</v>
      </c>
      <c r="E4" s="2" t="s">
        <v>521</v>
      </c>
      <c r="F4" s="2" t="s">
        <v>487</v>
      </c>
      <c r="G4" s="2" t="s">
        <v>545</v>
      </c>
      <c r="H4" s="3">
        <v>44940</v>
      </c>
      <c r="I4" s="2">
        <v>720</v>
      </c>
    </row>
    <row r="5" spans="1:9" x14ac:dyDescent="0.4">
      <c r="A5" s="2">
        <v>4</v>
      </c>
      <c r="B5" s="2" t="s">
        <v>3101</v>
      </c>
      <c r="C5" s="2" t="s">
        <v>570</v>
      </c>
      <c r="D5" s="2" t="s">
        <v>496</v>
      </c>
      <c r="E5" s="2" t="s">
        <v>572</v>
      </c>
      <c r="F5" s="2" t="s">
        <v>487</v>
      </c>
      <c r="G5" s="2" t="s">
        <v>488</v>
      </c>
      <c r="H5" s="3">
        <v>44260</v>
      </c>
      <c r="I5" s="2">
        <v>780</v>
      </c>
    </row>
    <row r="6" spans="1:9" x14ac:dyDescent="0.4">
      <c r="A6" s="2">
        <v>5</v>
      </c>
      <c r="B6" s="2" t="s">
        <v>3102</v>
      </c>
      <c r="C6" s="2" t="s">
        <v>561</v>
      </c>
      <c r="D6" s="2" t="s">
        <v>562</v>
      </c>
      <c r="E6" s="2" t="s">
        <v>521</v>
      </c>
      <c r="F6" s="2" t="s">
        <v>487</v>
      </c>
      <c r="G6" s="2" t="s">
        <v>564</v>
      </c>
      <c r="H6" s="3">
        <v>44940</v>
      </c>
      <c r="I6" s="2">
        <v>1070</v>
      </c>
    </row>
    <row r="7" spans="1:9" x14ac:dyDescent="0.4">
      <c r="A7" s="2">
        <v>6</v>
      </c>
      <c r="B7" s="2" t="s">
        <v>3103</v>
      </c>
      <c r="C7" s="2" t="s">
        <v>513</v>
      </c>
      <c r="D7" s="2" t="s">
        <v>514</v>
      </c>
      <c r="E7" s="2" t="s">
        <v>516</v>
      </c>
      <c r="F7" s="2" t="s">
        <v>487</v>
      </c>
      <c r="G7" s="2" t="s">
        <v>517</v>
      </c>
      <c r="H7" s="3">
        <v>44553</v>
      </c>
      <c r="I7" s="2">
        <v>800</v>
      </c>
    </row>
    <row r="8" spans="1:9" x14ac:dyDescent="0.4">
      <c r="A8" s="2">
        <v>7</v>
      </c>
      <c r="B8" s="2" t="s">
        <v>3104</v>
      </c>
      <c r="C8" s="2" t="s">
        <v>573</v>
      </c>
      <c r="D8" s="2" t="s">
        <v>574</v>
      </c>
      <c r="E8" s="2" t="s">
        <v>521</v>
      </c>
      <c r="F8" s="2" t="s">
        <v>487</v>
      </c>
      <c r="G8" s="2" t="s">
        <v>492</v>
      </c>
      <c r="H8" s="3">
        <v>44940</v>
      </c>
      <c r="I8" s="2">
        <v>1200</v>
      </c>
    </row>
    <row r="9" spans="1:9" x14ac:dyDescent="0.4">
      <c r="A9" s="2">
        <v>8</v>
      </c>
      <c r="B9" s="2" t="s">
        <v>3105</v>
      </c>
      <c r="C9" s="2" t="s">
        <v>585</v>
      </c>
      <c r="D9" s="2" t="s">
        <v>496</v>
      </c>
      <c r="E9" s="2" t="s">
        <v>572</v>
      </c>
      <c r="F9" s="2" t="s">
        <v>487</v>
      </c>
      <c r="G9" s="2" t="s">
        <v>488</v>
      </c>
      <c r="H9" s="3">
        <v>44260</v>
      </c>
      <c r="I9" s="2">
        <v>780</v>
      </c>
    </row>
    <row r="10" spans="1:9" x14ac:dyDescent="0.4">
      <c r="A10" s="2">
        <v>9</v>
      </c>
      <c r="B10" s="2" t="s">
        <v>3106</v>
      </c>
      <c r="C10" s="2" t="s">
        <v>594</v>
      </c>
      <c r="D10" s="2" t="s">
        <v>595</v>
      </c>
      <c r="E10" s="2" t="s">
        <v>597</v>
      </c>
      <c r="F10" s="2" t="s">
        <v>487</v>
      </c>
      <c r="G10" s="2" t="s">
        <v>488</v>
      </c>
      <c r="H10" s="3">
        <v>44797</v>
      </c>
      <c r="I10" s="2">
        <v>680</v>
      </c>
    </row>
    <row r="11" spans="1:9" x14ac:dyDescent="0.4">
      <c r="A11" s="2">
        <v>10</v>
      </c>
      <c r="B11" s="2" t="s">
        <v>3107</v>
      </c>
      <c r="C11" s="2" t="s">
        <v>605</v>
      </c>
      <c r="D11" s="2" t="s">
        <v>606</v>
      </c>
      <c r="E11" s="2" t="s">
        <v>501</v>
      </c>
      <c r="F11" s="2" t="s">
        <v>487</v>
      </c>
      <c r="G11" s="2" t="s">
        <v>502</v>
      </c>
      <c r="H11" s="3">
        <v>44904</v>
      </c>
      <c r="I11" s="2">
        <v>1600</v>
      </c>
    </row>
    <row r="12" spans="1:9" x14ac:dyDescent="0.4">
      <c r="A12" s="2">
        <v>11</v>
      </c>
      <c r="B12" s="2" t="s">
        <v>3108</v>
      </c>
      <c r="C12" s="2" t="s">
        <v>582</v>
      </c>
      <c r="D12" s="2" t="s">
        <v>583</v>
      </c>
      <c r="E12" s="2" t="s">
        <v>501</v>
      </c>
      <c r="F12" s="2" t="s">
        <v>487</v>
      </c>
      <c r="G12" s="2" t="s">
        <v>483</v>
      </c>
      <c r="H12" s="3">
        <v>39669</v>
      </c>
      <c r="I12" s="2">
        <v>520</v>
      </c>
    </row>
    <row r="13" spans="1:9" x14ac:dyDescent="0.4">
      <c r="A13" s="2">
        <v>12</v>
      </c>
      <c r="B13" s="2" t="s">
        <v>3109</v>
      </c>
      <c r="C13" s="2" t="s">
        <v>611</v>
      </c>
      <c r="D13" s="2" t="s">
        <v>606</v>
      </c>
      <c r="E13" s="2" t="s">
        <v>501</v>
      </c>
      <c r="F13" s="2" t="s">
        <v>487</v>
      </c>
      <c r="G13" s="2" t="s">
        <v>502</v>
      </c>
      <c r="H13" s="3">
        <v>44904</v>
      </c>
      <c r="I13" s="2">
        <v>1700</v>
      </c>
    </row>
    <row r="14" spans="1:9" x14ac:dyDescent="0.4">
      <c r="A14" s="2">
        <v>13</v>
      </c>
      <c r="B14" s="2" t="s">
        <v>3110</v>
      </c>
      <c r="C14" s="2" t="s">
        <v>636</v>
      </c>
      <c r="D14" s="2" t="s">
        <v>637</v>
      </c>
      <c r="E14" s="2" t="s">
        <v>639</v>
      </c>
      <c r="F14" s="2" t="s">
        <v>487</v>
      </c>
      <c r="G14" s="2" t="s">
        <v>488</v>
      </c>
      <c r="H14" s="3">
        <v>43347</v>
      </c>
      <c r="I14" s="2">
        <v>600</v>
      </c>
    </row>
    <row r="15" spans="1:9" x14ac:dyDescent="0.4">
      <c r="A15" s="2">
        <v>14</v>
      </c>
      <c r="B15" s="2" t="s">
        <v>3111</v>
      </c>
      <c r="C15" s="2" t="s">
        <v>684</v>
      </c>
      <c r="D15" s="2" t="s">
        <v>685</v>
      </c>
      <c r="E15" s="2" t="s">
        <v>516</v>
      </c>
      <c r="F15" s="2" t="s">
        <v>487</v>
      </c>
      <c r="G15" s="2" t="s">
        <v>488</v>
      </c>
      <c r="H15" s="3">
        <v>42206</v>
      </c>
      <c r="I15" s="2">
        <v>630</v>
      </c>
    </row>
    <row r="16" spans="1:9" x14ac:dyDescent="0.4">
      <c r="A16" s="2">
        <v>15</v>
      </c>
      <c r="B16" s="2" t="s">
        <v>3112</v>
      </c>
      <c r="C16" s="2" t="s">
        <v>687</v>
      </c>
      <c r="D16" s="2" t="s">
        <v>688</v>
      </c>
      <c r="E16" s="2" t="s">
        <v>501</v>
      </c>
      <c r="F16" s="2" t="s">
        <v>487</v>
      </c>
      <c r="G16" s="2" t="s">
        <v>502</v>
      </c>
      <c r="H16" s="3">
        <v>41131</v>
      </c>
      <c r="I16" s="2">
        <v>950</v>
      </c>
    </row>
    <row r="17" spans="1:9" x14ac:dyDescent="0.4">
      <c r="A17" s="2">
        <v>16</v>
      </c>
      <c r="B17" s="2" t="s">
        <v>3113</v>
      </c>
      <c r="C17" s="2" t="s">
        <v>623</v>
      </c>
      <c r="D17" s="2" t="s">
        <v>624</v>
      </c>
      <c r="E17" s="2" t="s">
        <v>501</v>
      </c>
      <c r="F17" s="2" t="s">
        <v>487</v>
      </c>
      <c r="G17" s="2" t="s">
        <v>517</v>
      </c>
      <c r="H17" s="3">
        <v>44937</v>
      </c>
      <c r="I17" s="2">
        <v>1300</v>
      </c>
    </row>
    <row r="18" spans="1:9" x14ac:dyDescent="0.4">
      <c r="A18" s="2">
        <v>17</v>
      </c>
      <c r="B18" s="2" t="s">
        <v>3114</v>
      </c>
      <c r="C18" s="2" t="s">
        <v>640</v>
      </c>
      <c r="D18" s="2" t="s">
        <v>641</v>
      </c>
      <c r="E18" s="2" t="s">
        <v>597</v>
      </c>
      <c r="F18" s="2" t="s">
        <v>487</v>
      </c>
      <c r="G18" s="2" t="s">
        <v>600</v>
      </c>
      <c r="H18" s="3">
        <v>44916</v>
      </c>
      <c r="I18" s="2">
        <v>640</v>
      </c>
    </row>
    <row r="19" spans="1:9" x14ac:dyDescent="0.4">
      <c r="A19" s="2">
        <v>18</v>
      </c>
      <c r="B19" s="2" t="s">
        <v>3115</v>
      </c>
      <c r="C19" s="2" t="s">
        <v>613</v>
      </c>
      <c r="D19" s="2" t="s">
        <v>614</v>
      </c>
      <c r="E19" s="2" t="s">
        <v>548</v>
      </c>
      <c r="F19" s="2" t="s">
        <v>487</v>
      </c>
      <c r="G19" s="2" t="s">
        <v>483</v>
      </c>
      <c r="H19" s="3">
        <v>44938</v>
      </c>
      <c r="I19" s="2">
        <v>2190</v>
      </c>
    </row>
    <row r="20" spans="1:9" x14ac:dyDescent="0.4">
      <c r="A20" s="2">
        <v>19</v>
      </c>
      <c r="B20" s="2" t="s">
        <v>3116</v>
      </c>
      <c r="C20" s="2" t="s">
        <v>706</v>
      </c>
      <c r="D20" s="2" t="s">
        <v>707</v>
      </c>
      <c r="E20" s="2" t="s">
        <v>540</v>
      </c>
      <c r="F20" s="2" t="s">
        <v>487</v>
      </c>
      <c r="G20" s="2" t="s">
        <v>488</v>
      </c>
      <c r="H20" s="3">
        <v>44855</v>
      </c>
      <c r="I20" s="2">
        <v>880</v>
      </c>
    </row>
    <row r="21" spans="1:9" x14ac:dyDescent="0.4">
      <c r="A21" s="2">
        <v>20</v>
      </c>
      <c r="B21" s="2" t="s">
        <v>3117</v>
      </c>
      <c r="C21" s="2" t="s">
        <v>721</v>
      </c>
      <c r="D21" s="2" t="s">
        <v>722</v>
      </c>
      <c r="E21" s="2" t="s">
        <v>501</v>
      </c>
      <c r="F21" s="2" t="s">
        <v>487</v>
      </c>
      <c r="G21" s="2" t="s">
        <v>724</v>
      </c>
      <c r="H21" s="3">
        <v>44937</v>
      </c>
      <c r="I21" s="2">
        <v>1000</v>
      </c>
    </row>
    <row r="22" spans="1:9" x14ac:dyDescent="0.4">
      <c r="A22" s="2">
        <v>21</v>
      </c>
      <c r="B22" s="2" t="s">
        <v>3118</v>
      </c>
      <c r="C22" s="2" t="s">
        <v>631</v>
      </c>
      <c r="D22" s="2" t="s">
        <v>632</v>
      </c>
      <c r="E22" s="2" t="s">
        <v>548</v>
      </c>
      <c r="F22" s="2" t="s">
        <v>487</v>
      </c>
      <c r="G22" s="2" t="s">
        <v>483</v>
      </c>
      <c r="H22" s="3">
        <v>44910</v>
      </c>
      <c r="I22" s="2">
        <v>2000</v>
      </c>
    </row>
    <row r="23" spans="1:9" x14ac:dyDescent="0.4">
      <c r="A23" s="2">
        <v>22</v>
      </c>
      <c r="B23" s="2" t="s">
        <v>3119</v>
      </c>
      <c r="C23" s="2" t="s">
        <v>692</v>
      </c>
      <c r="D23" s="2" t="s">
        <v>693</v>
      </c>
      <c r="E23" s="2" t="s">
        <v>501</v>
      </c>
      <c r="F23" s="2" t="s">
        <v>487</v>
      </c>
      <c r="G23" s="2" t="s">
        <v>579</v>
      </c>
      <c r="H23" s="3">
        <v>44937</v>
      </c>
      <c r="I23" s="2">
        <v>1100</v>
      </c>
    </row>
    <row r="24" spans="1:9" x14ac:dyDescent="0.4">
      <c r="A24" s="2">
        <v>23</v>
      </c>
      <c r="B24" s="2" t="s">
        <v>3120</v>
      </c>
      <c r="C24" s="2" t="s">
        <v>695</v>
      </c>
      <c r="D24" s="2" t="s">
        <v>696</v>
      </c>
      <c r="E24" s="2" t="s">
        <v>597</v>
      </c>
      <c r="F24" s="2" t="s">
        <v>487</v>
      </c>
      <c r="G24" s="2" t="s">
        <v>600</v>
      </c>
      <c r="H24" s="3">
        <v>44858</v>
      </c>
      <c r="I24" s="2">
        <v>620</v>
      </c>
    </row>
    <row r="25" spans="1:9" x14ac:dyDescent="0.4">
      <c r="A25" s="2">
        <v>24</v>
      </c>
      <c r="B25" s="2" t="s">
        <v>3121</v>
      </c>
      <c r="C25" s="2" t="s">
        <v>782</v>
      </c>
      <c r="D25" s="2" t="s">
        <v>783</v>
      </c>
      <c r="E25" s="2" t="s">
        <v>501</v>
      </c>
      <c r="F25" s="2" t="s">
        <v>487</v>
      </c>
      <c r="G25" s="2" t="s">
        <v>604</v>
      </c>
      <c r="H25" s="3">
        <v>44937</v>
      </c>
      <c r="I25" s="2">
        <v>1000</v>
      </c>
    </row>
    <row r="26" spans="1:9" x14ac:dyDescent="0.4">
      <c r="A26" s="2">
        <v>25</v>
      </c>
      <c r="B26" s="2" t="s">
        <v>3122</v>
      </c>
      <c r="C26" s="2" t="s">
        <v>732</v>
      </c>
      <c r="D26" s="2" t="s">
        <v>733</v>
      </c>
      <c r="E26" s="2" t="s">
        <v>521</v>
      </c>
      <c r="F26" s="2" t="s">
        <v>487</v>
      </c>
      <c r="G26" s="2" t="s">
        <v>483</v>
      </c>
      <c r="H26" s="3">
        <v>44911</v>
      </c>
      <c r="I26" s="2">
        <v>960</v>
      </c>
    </row>
    <row r="27" spans="1:9" x14ac:dyDescent="0.4">
      <c r="A27" s="2">
        <v>26</v>
      </c>
      <c r="B27" s="2" t="s">
        <v>3123</v>
      </c>
      <c r="C27" s="2" t="s">
        <v>739</v>
      </c>
      <c r="D27" s="2" t="s">
        <v>740</v>
      </c>
      <c r="E27" s="2" t="s">
        <v>521</v>
      </c>
      <c r="F27" s="2" t="s">
        <v>487</v>
      </c>
      <c r="G27" s="2" t="s">
        <v>703</v>
      </c>
      <c r="H27" s="3">
        <v>44940</v>
      </c>
      <c r="I27" s="2">
        <v>1040</v>
      </c>
    </row>
    <row r="28" spans="1:9" x14ac:dyDescent="0.4">
      <c r="A28" s="2">
        <v>27</v>
      </c>
      <c r="B28" s="2" t="s">
        <v>3124</v>
      </c>
      <c r="C28" s="2" t="s">
        <v>652</v>
      </c>
      <c r="D28" s="2" t="s">
        <v>653</v>
      </c>
      <c r="E28" s="2" t="s">
        <v>597</v>
      </c>
      <c r="F28" s="2" t="s">
        <v>487</v>
      </c>
      <c r="G28" s="2" t="s">
        <v>655</v>
      </c>
      <c r="H28" s="3">
        <v>44946</v>
      </c>
      <c r="I28" s="2">
        <v>1620</v>
      </c>
    </row>
    <row r="29" spans="1:9" x14ac:dyDescent="0.4">
      <c r="A29" s="2">
        <v>28</v>
      </c>
      <c r="B29" s="2" t="s">
        <v>3125</v>
      </c>
      <c r="C29" s="2" t="s">
        <v>690</v>
      </c>
      <c r="D29" s="2" t="s">
        <v>691</v>
      </c>
      <c r="E29" s="2" t="s">
        <v>548</v>
      </c>
      <c r="F29" s="2" t="s">
        <v>487</v>
      </c>
      <c r="G29" s="2" t="s">
        <v>579</v>
      </c>
      <c r="H29" s="3">
        <v>44938</v>
      </c>
      <c r="I29" s="2">
        <v>1000</v>
      </c>
    </row>
    <row r="30" spans="1:9" x14ac:dyDescent="0.4">
      <c r="A30" s="2">
        <v>29</v>
      </c>
      <c r="B30" s="2" t="s">
        <v>3126</v>
      </c>
      <c r="C30" s="2" t="s">
        <v>727</v>
      </c>
      <c r="D30" s="2" t="s">
        <v>728</v>
      </c>
      <c r="E30" s="2" t="s">
        <v>521</v>
      </c>
      <c r="F30" s="2" t="s">
        <v>487</v>
      </c>
      <c r="G30" s="2" t="s">
        <v>670</v>
      </c>
      <c r="H30" s="3">
        <v>44911</v>
      </c>
      <c r="I30" s="2">
        <v>1010</v>
      </c>
    </row>
    <row r="31" spans="1:9" x14ac:dyDescent="0.4">
      <c r="A31" s="2">
        <v>30</v>
      </c>
      <c r="B31" s="2" t="s">
        <v>3127</v>
      </c>
      <c r="C31" s="2" t="s">
        <v>795</v>
      </c>
      <c r="D31" s="2" t="s">
        <v>796</v>
      </c>
      <c r="E31" s="2" t="s">
        <v>516</v>
      </c>
      <c r="F31" s="2" t="s">
        <v>487</v>
      </c>
      <c r="G31" s="2" t="s">
        <v>488</v>
      </c>
      <c r="H31" s="3">
        <v>43859</v>
      </c>
      <c r="I31" s="2">
        <v>490</v>
      </c>
    </row>
    <row r="32" spans="1:9" x14ac:dyDescent="0.4">
      <c r="A32" s="2">
        <v>31</v>
      </c>
      <c r="B32" s="2" t="s">
        <v>3128</v>
      </c>
      <c r="C32" s="2" t="s">
        <v>802</v>
      </c>
      <c r="D32" s="2" t="s">
        <v>803</v>
      </c>
      <c r="E32" s="2" t="s">
        <v>516</v>
      </c>
      <c r="F32" s="2" t="s">
        <v>487</v>
      </c>
      <c r="G32" s="2" t="s">
        <v>488</v>
      </c>
      <c r="H32" s="3">
        <v>44739</v>
      </c>
      <c r="I32" s="2">
        <v>750</v>
      </c>
    </row>
    <row r="33" spans="1:9" x14ac:dyDescent="0.4">
      <c r="A33" s="2">
        <v>32</v>
      </c>
      <c r="B33" s="2" t="s">
        <v>3129</v>
      </c>
      <c r="C33" s="2" t="s">
        <v>762</v>
      </c>
      <c r="D33" s="2" t="s">
        <v>685</v>
      </c>
      <c r="E33" s="2" t="s">
        <v>536</v>
      </c>
      <c r="F33" s="2" t="s">
        <v>487</v>
      </c>
      <c r="G33" s="2" t="s">
        <v>488</v>
      </c>
      <c r="H33" s="3">
        <v>44946</v>
      </c>
      <c r="I33" s="2">
        <v>660</v>
      </c>
    </row>
    <row r="34" spans="1:9" x14ac:dyDescent="0.4">
      <c r="A34" s="2">
        <v>33</v>
      </c>
      <c r="B34" s="2" t="s">
        <v>3130</v>
      </c>
      <c r="C34" s="2" t="s">
        <v>789</v>
      </c>
      <c r="D34" s="2" t="s">
        <v>790</v>
      </c>
      <c r="E34" s="2" t="s">
        <v>597</v>
      </c>
      <c r="F34" s="2" t="s">
        <v>487</v>
      </c>
      <c r="G34" s="2" t="s">
        <v>593</v>
      </c>
      <c r="H34" s="3">
        <v>44915</v>
      </c>
      <c r="I34" s="2">
        <v>960</v>
      </c>
    </row>
    <row r="35" spans="1:9" x14ac:dyDescent="0.4">
      <c r="A35" s="2">
        <v>34</v>
      </c>
      <c r="B35" s="2" t="s">
        <v>3131</v>
      </c>
      <c r="C35" s="2" t="s">
        <v>805</v>
      </c>
      <c r="D35" s="2" t="s">
        <v>685</v>
      </c>
      <c r="E35" s="2" t="s">
        <v>807</v>
      </c>
      <c r="F35" s="2" t="s">
        <v>487</v>
      </c>
      <c r="G35" s="2" t="s">
        <v>488</v>
      </c>
      <c r="H35" s="3">
        <v>40276</v>
      </c>
      <c r="I35" s="2">
        <v>619</v>
      </c>
    </row>
    <row r="36" spans="1:9" x14ac:dyDescent="0.4">
      <c r="A36" s="2">
        <v>35</v>
      </c>
      <c r="B36" s="2" t="s">
        <v>3132</v>
      </c>
      <c r="C36" s="2" t="s">
        <v>821</v>
      </c>
      <c r="D36" s="2" t="s">
        <v>801</v>
      </c>
      <c r="E36" s="2" t="s">
        <v>597</v>
      </c>
      <c r="F36" s="2" t="s">
        <v>487</v>
      </c>
      <c r="G36" s="2" t="s">
        <v>488</v>
      </c>
      <c r="H36" s="3">
        <v>44722</v>
      </c>
      <c r="I36" s="2">
        <v>640</v>
      </c>
    </row>
    <row r="37" spans="1:9" x14ac:dyDescent="0.4">
      <c r="A37" s="2">
        <v>36</v>
      </c>
      <c r="B37" s="2" t="s">
        <v>3133</v>
      </c>
      <c r="C37" s="2" t="s">
        <v>827</v>
      </c>
      <c r="D37" s="2" t="s">
        <v>828</v>
      </c>
      <c r="E37" s="2" t="s">
        <v>714</v>
      </c>
      <c r="F37" s="2" t="s">
        <v>487</v>
      </c>
      <c r="G37" s="2" t="s">
        <v>488</v>
      </c>
      <c r="H37" s="3">
        <v>44939</v>
      </c>
      <c r="I37" s="2">
        <v>710</v>
      </c>
    </row>
    <row r="38" spans="1:9" x14ac:dyDescent="0.4">
      <c r="A38" s="2">
        <v>37</v>
      </c>
      <c r="B38" s="2" t="s">
        <v>3134</v>
      </c>
      <c r="C38" s="2" t="s">
        <v>800</v>
      </c>
      <c r="D38" s="2" t="s">
        <v>801</v>
      </c>
      <c r="E38" s="2" t="s">
        <v>486</v>
      </c>
      <c r="F38" s="2" t="s">
        <v>487</v>
      </c>
      <c r="G38" s="2" t="s">
        <v>488</v>
      </c>
      <c r="H38" s="3">
        <v>39508</v>
      </c>
      <c r="I38" s="2">
        <v>680</v>
      </c>
    </row>
    <row r="39" spans="1:9" x14ac:dyDescent="0.4">
      <c r="A39" s="2">
        <v>38</v>
      </c>
      <c r="B39" s="2" t="s">
        <v>3135</v>
      </c>
      <c r="C39" s="2" t="s">
        <v>815</v>
      </c>
      <c r="D39" s="2" t="s">
        <v>816</v>
      </c>
      <c r="E39" s="2" t="s">
        <v>521</v>
      </c>
      <c r="F39" s="2" t="s">
        <v>487</v>
      </c>
      <c r="G39" s="2" t="s">
        <v>505</v>
      </c>
      <c r="H39" s="3">
        <v>44940</v>
      </c>
      <c r="I39" s="2">
        <v>1120</v>
      </c>
    </row>
    <row r="40" spans="1:9" x14ac:dyDescent="0.4">
      <c r="A40" s="2">
        <v>39</v>
      </c>
      <c r="B40" s="2" t="s">
        <v>3136</v>
      </c>
      <c r="C40" s="2" t="s">
        <v>834</v>
      </c>
      <c r="D40" s="2" t="s">
        <v>835</v>
      </c>
      <c r="E40" s="2" t="s">
        <v>521</v>
      </c>
      <c r="F40" s="2" t="s">
        <v>487</v>
      </c>
      <c r="G40" s="2" t="s">
        <v>483</v>
      </c>
      <c r="H40" s="3">
        <v>44911</v>
      </c>
      <c r="I40" s="2">
        <v>1500</v>
      </c>
    </row>
    <row r="41" spans="1:9" x14ac:dyDescent="0.4">
      <c r="A41" s="2">
        <v>40</v>
      </c>
      <c r="B41" s="2" t="s">
        <v>3137</v>
      </c>
      <c r="C41" s="2" t="s">
        <v>842</v>
      </c>
      <c r="D41" s="2" t="s">
        <v>843</v>
      </c>
      <c r="E41" s="2" t="s">
        <v>516</v>
      </c>
      <c r="F41" s="2" t="s">
        <v>487</v>
      </c>
      <c r="G41" s="2" t="s">
        <v>509</v>
      </c>
      <c r="H41" s="3">
        <v>44371</v>
      </c>
      <c r="I41" s="2">
        <v>630</v>
      </c>
    </row>
    <row r="42" spans="1:9" x14ac:dyDescent="0.4">
      <c r="A42" s="2">
        <v>41</v>
      </c>
      <c r="B42" s="2" t="s">
        <v>3138</v>
      </c>
      <c r="C42" s="2" t="s">
        <v>859</v>
      </c>
      <c r="D42" s="2" t="s">
        <v>860</v>
      </c>
      <c r="E42" s="2" t="s">
        <v>676</v>
      </c>
      <c r="F42" s="2" t="s">
        <v>487</v>
      </c>
      <c r="G42" s="2" t="s">
        <v>564</v>
      </c>
      <c r="H42" s="3">
        <v>44937</v>
      </c>
      <c r="I42" s="2">
        <v>1400</v>
      </c>
    </row>
    <row r="43" spans="1:9" x14ac:dyDescent="0.4">
      <c r="A43" s="2">
        <v>42</v>
      </c>
      <c r="B43" s="2" t="s">
        <v>3139</v>
      </c>
      <c r="C43" s="2" t="s">
        <v>960</v>
      </c>
      <c r="D43" s="2" t="s">
        <v>961</v>
      </c>
      <c r="E43" s="2" t="s">
        <v>963</v>
      </c>
      <c r="F43" s="2" t="s">
        <v>487</v>
      </c>
      <c r="G43" s="2" t="s">
        <v>564</v>
      </c>
      <c r="H43" s="3">
        <v>37165</v>
      </c>
      <c r="I43" s="2">
        <v>1200</v>
      </c>
    </row>
    <row r="44" spans="1:9" x14ac:dyDescent="0.4">
      <c r="A44" s="2">
        <v>43</v>
      </c>
      <c r="B44" s="2" t="s">
        <v>3140</v>
      </c>
      <c r="C44" s="2" t="s">
        <v>879</v>
      </c>
      <c r="D44" s="2" t="s">
        <v>880</v>
      </c>
      <c r="E44" s="2" t="s">
        <v>516</v>
      </c>
      <c r="F44" s="2" t="s">
        <v>487</v>
      </c>
      <c r="G44" s="2" t="s">
        <v>488</v>
      </c>
      <c r="H44" s="3">
        <v>44497</v>
      </c>
      <c r="I44" s="2">
        <v>550</v>
      </c>
    </row>
    <row r="45" spans="1:9" x14ac:dyDescent="0.4">
      <c r="A45" s="2">
        <v>44</v>
      </c>
      <c r="B45" s="2" t="s">
        <v>3141</v>
      </c>
      <c r="C45" s="2" t="s">
        <v>884</v>
      </c>
      <c r="D45" s="2" t="s">
        <v>885</v>
      </c>
      <c r="E45" s="2" t="s">
        <v>676</v>
      </c>
      <c r="F45" s="2" t="s">
        <v>487</v>
      </c>
      <c r="G45" s="2" t="s">
        <v>564</v>
      </c>
      <c r="H45" s="3">
        <v>44937</v>
      </c>
      <c r="I45" s="2">
        <v>1460</v>
      </c>
    </row>
    <row r="46" spans="1:9" x14ac:dyDescent="0.4">
      <c r="A46" s="2">
        <v>45</v>
      </c>
      <c r="B46" s="2" t="s">
        <v>3142</v>
      </c>
      <c r="C46" s="2" t="s">
        <v>887</v>
      </c>
      <c r="D46" s="2" t="s">
        <v>888</v>
      </c>
      <c r="E46" s="2" t="s">
        <v>548</v>
      </c>
      <c r="F46" s="2" t="s">
        <v>487</v>
      </c>
      <c r="G46" s="2" t="s">
        <v>483</v>
      </c>
      <c r="H46" s="3">
        <v>44910</v>
      </c>
      <c r="I46" s="2">
        <v>1360</v>
      </c>
    </row>
    <row r="47" spans="1:9" x14ac:dyDescent="0.4">
      <c r="A47" s="2">
        <v>46</v>
      </c>
      <c r="B47" s="2" t="s">
        <v>3143</v>
      </c>
      <c r="C47" s="2" t="s">
        <v>895</v>
      </c>
      <c r="D47" s="2" t="s">
        <v>896</v>
      </c>
      <c r="E47" s="2" t="s">
        <v>521</v>
      </c>
      <c r="F47" s="2" t="s">
        <v>487</v>
      </c>
      <c r="G47" s="2" t="s">
        <v>488</v>
      </c>
      <c r="H47" s="3">
        <v>44911</v>
      </c>
      <c r="I47" s="2">
        <v>970</v>
      </c>
    </row>
    <row r="48" spans="1:9" x14ac:dyDescent="0.4">
      <c r="A48" s="2">
        <v>47</v>
      </c>
      <c r="B48" s="2" t="s">
        <v>3144</v>
      </c>
      <c r="C48" s="2" t="s">
        <v>845</v>
      </c>
      <c r="D48" s="2" t="s">
        <v>846</v>
      </c>
      <c r="E48" s="2" t="s">
        <v>848</v>
      </c>
      <c r="F48" s="2" t="s">
        <v>487</v>
      </c>
      <c r="G48" s="2" t="s">
        <v>579</v>
      </c>
      <c r="H48" s="3">
        <v>40942</v>
      </c>
      <c r="I48" s="2">
        <v>900</v>
      </c>
    </row>
    <row r="49" spans="1:9" x14ac:dyDescent="0.4">
      <c r="A49" s="2">
        <v>48</v>
      </c>
      <c r="B49" s="2" t="s">
        <v>3145</v>
      </c>
      <c r="C49" s="2" t="s">
        <v>936</v>
      </c>
      <c r="D49" s="2" t="s">
        <v>937</v>
      </c>
      <c r="E49" s="2" t="s">
        <v>516</v>
      </c>
      <c r="F49" s="2" t="s">
        <v>487</v>
      </c>
      <c r="G49" s="2" t="s">
        <v>488</v>
      </c>
      <c r="H49" s="3">
        <v>40940</v>
      </c>
      <c r="I49" s="2">
        <v>630</v>
      </c>
    </row>
    <row r="50" spans="1:9" x14ac:dyDescent="0.4">
      <c r="A50" s="2">
        <v>49</v>
      </c>
      <c r="B50" s="2" t="s">
        <v>3146</v>
      </c>
      <c r="C50" s="2" t="s">
        <v>939</v>
      </c>
      <c r="D50" s="2" t="s">
        <v>801</v>
      </c>
      <c r="E50" s="2" t="s">
        <v>486</v>
      </c>
      <c r="F50" s="2" t="s">
        <v>487</v>
      </c>
      <c r="G50" s="2" t="s">
        <v>488</v>
      </c>
      <c r="H50" s="3">
        <v>39807</v>
      </c>
      <c r="I50" s="2">
        <v>560</v>
      </c>
    </row>
    <row r="51" spans="1:9" x14ac:dyDescent="0.4">
      <c r="A51" s="2">
        <v>50</v>
      </c>
      <c r="B51" s="2" t="s">
        <v>3147</v>
      </c>
      <c r="C51" s="2" t="s">
        <v>943</v>
      </c>
      <c r="D51" s="2" t="s">
        <v>944</v>
      </c>
      <c r="E51" s="2" t="s">
        <v>501</v>
      </c>
      <c r="F51" s="2" t="s">
        <v>487</v>
      </c>
      <c r="G51" s="2" t="s">
        <v>604</v>
      </c>
      <c r="H51" s="3">
        <v>44904</v>
      </c>
      <c r="I51" s="2">
        <v>1100</v>
      </c>
    </row>
    <row r="52" spans="1:9" x14ac:dyDescent="0.4">
      <c r="A52" s="2">
        <v>51</v>
      </c>
      <c r="B52" s="2" t="s">
        <v>3148</v>
      </c>
      <c r="C52" s="2" t="s">
        <v>969</v>
      </c>
      <c r="D52" s="2" t="s">
        <v>970</v>
      </c>
      <c r="E52" s="2" t="s">
        <v>572</v>
      </c>
      <c r="F52" s="2" t="s">
        <v>487</v>
      </c>
      <c r="G52" s="2" t="s">
        <v>488</v>
      </c>
      <c r="H52" s="3">
        <v>44840</v>
      </c>
      <c r="I52" s="2">
        <v>720</v>
      </c>
    </row>
    <row r="53" spans="1:9" x14ac:dyDescent="0.4">
      <c r="A53" s="2">
        <v>52</v>
      </c>
      <c r="B53" s="2" t="s">
        <v>3149</v>
      </c>
      <c r="C53" s="2" t="s">
        <v>991</v>
      </c>
      <c r="D53" s="2" t="s">
        <v>992</v>
      </c>
      <c r="E53" s="2" t="s">
        <v>516</v>
      </c>
      <c r="F53" s="2" t="s">
        <v>487</v>
      </c>
      <c r="G53" s="2" t="s">
        <v>488</v>
      </c>
      <c r="H53" s="3">
        <v>44371</v>
      </c>
      <c r="I53" s="2">
        <v>670</v>
      </c>
    </row>
    <row r="54" spans="1:9" x14ac:dyDescent="0.4">
      <c r="A54" s="2">
        <v>53</v>
      </c>
      <c r="B54" s="2" t="s">
        <v>3150</v>
      </c>
      <c r="C54" s="2" t="s">
        <v>825</v>
      </c>
      <c r="D54" s="2" t="s">
        <v>826</v>
      </c>
      <c r="E54" s="2" t="s">
        <v>548</v>
      </c>
      <c r="F54" s="2" t="s">
        <v>487</v>
      </c>
      <c r="G54" s="2" t="s">
        <v>502</v>
      </c>
      <c r="H54" s="3">
        <v>44938</v>
      </c>
      <c r="I54" s="2">
        <v>1360</v>
      </c>
    </row>
    <row r="55" spans="1:9" x14ac:dyDescent="0.4">
      <c r="A55" s="2">
        <v>54</v>
      </c>
      <c r="B55" s="2" t="s">
        <v>3151</v>
      </c>
      <c r="C55" s="2" t="s">
        <v>898</v>
      </c>
      <c r="D55" s="2" t="s">
        <v>899</v>
      </c>
      <c r="E55" s="2" t="s">
        <v>521</v>
      </c>
      <c r="F55" s="2" t="s">
        <v>487</v>
      </c>
      <c r="G55" s="2" t="s">
        <v>505</v>
      </c>
      <c r="H55" s="3">
        <v>44940</v>
      </c>
      <c r="I55" s="2">
        <v>1000</v>
      </c>
    </row>
    <row r="56" spans="1:9" x14ac:dyDescent="0.4">
      <c r="A56" s="2">
        <v>55</v>
      </c>
      <c r="B56" s="2" t="s">
        <v>3152</v>
      </c>
      <c r="C56" s="2" t="s">
        <v>910</v>
      </c>
      <c r="D56" s="2" t="s">
        <v>911</v>
      </c>
      <c r="E56" s="2" t="s">
        <v>540</v>
      </c>
      <c r="F56" s="2" t="s">
        <v>487</v>
      </c>
      <c r="G56" s="2" t="s">
        <v>488</v>
      </c>
      <c r="H56" s="3">
        <v>44428</v>
      </c>
      <c r="I56" s="2">
        <v>700</v>
      </c>
    </row>
    <row r="57" spans="1:9" x14ac:dyDescent="0.4">
      <c r="A57" s="2">
        <v>56</v>
      </c>
      <c r="B57" s="2" t="s">
        <v>3153</v>
      </c>
      <c r="C57" s="2" t="s">
        <v>917</v>
      </c>
      <c r="D57" s="2" t="s">
        <v>918</v>
      </c>
      <c r="E57" s="2" t="s">
        <v>516</v>
      </c>
      <c r="F57" s="2" t="s">
        <v>487</v>
      </c>
      <c r="G57" s="2" t="s">
        <v>488</v>
      </c>
      <c r="H57" s="3">
        <v>44918</v>
      </c>
      <c r="I57" s="2">
        <v>630</v>
      </c>
    </row>
    <row r="58" spans="1:9" x14ac:dyDescent="0.4">
      <c r="A58" s="2">
        <v>57</v>
      </c>
      <c r="B58" s="2" t="s">
        <v>3154</v>
      </c>
      <c r="C58" s="2" t="s">
        <v>923</v>
      </c>
      <c r="D58" s="2" t="s">
        <v>924</v>
      </c>
      <c r="E58" s="2" t="s">
        <v>516</v>
      </c>
      <c r="F58" s="2" t="s">
        <v>487</v>
      </c>
      <c r="G58" s="2" t="s">
        <v>488</v>
      </c>
      <c r="H58" s="3">
        <v>44282</v>
      </c>
      <c r="I58" s="2">
        <v>630</v>
      </c>
    </row>
    <row r="59" spans="1:9" x14ac:dyDescent="0.4">
      <c r="A59" s="2">
        <v>58</v>
      </c>
      <c r="B59" s="2" t="s">
        <v>3155</v>
      </c>
      <c r="C59" s="2" t="s">
        <v>933</v>
      </c>
      <c r="D59" s="2" t="s">
        <v>880</v>
      </c>
      <c r="E59" s="2" t="s">
        <v>717</v>
      </c>
      <c r="F59" s="2" t="s">
        <v>487</v>
      </c>
      <c r="G59" s="2" t="s">
        <v>488</v>
      </c>
      <c r="H59" s="3">
        <v>44890</v>
      </c>
      <c r="I59" s="2">
        <v>900</v>
      </c>
    </row>
    <row r="60" spans="1:9" x14ac:dyDescent="0.4">
      <c r="A60" s="2">
        <v>59</v>
      </c>
      <c r="B60" s="2" t="s">
        <v>3156</v>
      </c>
      <c r="C60" s="2" t="s">
        <v>872</v>
      </c>
      <c r="D60" s="2" t="s">
        <v>479</v>
      </c>
      <c r="E60" s="2" t="s">
        <v>597</v>
      </c>
      <c r="F60" s="2" t="s">
        <v>487</v>
      </c>
      <c r="G60" s="2" t="s">
        <v>483</v>
      </c>
      <c r="H60" s="3">
        <v>44855</v>
      </c>
      <c r="I60" s="2">
        <v>1400</v>
      </c>
    </row>
    <row r="61" spans="1:9" x14ac:dyDescent="0.4">
      <c r="A61" s="2">
        <v>60</v>
      </c>
      <c r="B61" s="2" t="s">
        <v>3157</v>
      </c>
      <c r="C61" s="2" t="s">
        <v>931</v>
      </c>
      <c r="D61" s="2" t="s">
        <v>916</v>
      </c>
      <c r="E61" s="2" t="s">
        <v>498</v>
      </c>
      <c r="F61" s="2" t="s">
        <v>487</v>
      </c>
      <c r="G61" s="2" t="s">
        <v>505</v>
      </c>
      <c r="H61" s="3">
        <v>43378</v>
      </c>
      <c r="I61" s="2">
        <v>920</v>
      </c>
    </row>
    <row r="62" spans="1:9" x14ac:dyDescent="0.4">
      <c r="A62" s="2">
        <v>61</v>
      </c>
      <c r="B62" s="2" t="s">
        <v>3158</v>
      </c>
      <c r="C62" s="2" t="s">
        <v>958</v>
      </c>
      <c r="D62" s="2" t="s">
        <v>803</v>
      </c>
      <c r="E62" s="2" t="s">
        <v>540</v>
      </c>
      <c r="F62" s="2" t="s">
        <v>487</v>
      </c>
      <c r="G62" s="2" t="s">
        <v>488</v>
      </c>
      <c r="H62" s="3">
        <v>44855</v>
      </c>
      <c r="I62" s="2">
        <v>840</v>
      </c>
    </row>
    <row r="63" spans="1:9" x14ac:dyDescent="0.4">
      <c r="A63" s="2">
        <v>62</v>
      </c>
      <c r="B63" s="2" t="s">
        <v>3159</v>
      </c>
      <c r="C63" s="2" t="s">
        <v>983</v>
      </c>
      <c r="D63" s="2" t="s">
        <v>984</v>
      </c>
      <c r="E63" s="2" t="s">
        <v>669</v>
      </c>
      <c r="F63" s="2" t="s">
        <v>487</v>
      </c>
      <c r="G63" s="2" t="s">
        <v>579</v>
      </c>
      <c r="H63" s="3">
        <v>44953</v>
      </c>
      <c r="I63" s="2">
        <v>3500</v>
      </c>
    </row>
    <row r="64" spans="1:9" x14ac:dyDescent="0.4">
      <c r="A64" s="2">
        <v>63</v>
      </c>
      <c r="B64" s="2" t="s">
        <v>3160</v>
      </c>
      <c r="C64" s="2" t="s">
        <v>988</v>
      </c>
      <c r="D64" s="2" t="s">
        <v>989</v>
      </c>
      <c r="E64" s="2" t="s">
        <v>521</v>
      </c>
      <c r="F64" s="2" t="s">
        <v>487</v>
      </c>
      <c r="G64" s="2" t="s">
        <v>509</v>
      </c>
      <c r="H64" s="3">
        <v>43727</v>
      </c>
      <c r="I64" s="2">
        <v>1130</v>
      </c>
    </row>
    <row r="65" spans="1:9" x14ac:dyDescent="0.4">
      <c r="A65" s="2">
        <v>64</v>
      </c>
      <c r="B65" s="2" t="s">
        <v>3161</v>
      </c>
      <c r="C65" s="2" t="s">
        <v>1014</v>
      </c>
      <c r="D65" s="2" t="s">
        <v>1015</v>
      </c>
      <c r="E65" s="2" t="s">
        <v>501</v>
      </c>
      <c r="F65" s="2" t="s">
        <v>487</v>
      </c>
      <c r="G65" s="2" t="s">
        <v>655</v>
      </c>
      <c r="H65" s="3">
        <v>44904</v>
      </c>
      <c r="I65" s="2">
        <v>1500</v>
      </c>
    </row>
    <row r="66" spans="1:9" x14ac:dyDescent="0.4">
      <c r="A66" s="2">
        <v>65</v>
      </c>
      <c r="B66" s="2" t="s">
        <v>3162</v>
      </c>
      <c r="C66" s="2" t="s">
        <v>1004</v>
      </c>
      <c r="D66" s="2" t="s">
        <v>551</v>
      </c>
      <c r="E66" s="2" t="s">
        <v>516</v>
      </c>
      <c r="F66" s="2" t="s">
        <v>487</v>
      </c>
      <c r="G66" s="2" t="s">
        <v>1006</v>
      </c>
      <c r="H66" s="3">
        <v>44497</v>
      </c>
      <c r="I66" s="2">
        <v>850</v>
      </c>
    </row>
    <row r="67" spans="1:9" x14ac:dyDescent="0.4">
      <c r="A67" s="2">
        <v>66</v>
      </c>
      <c r="B67" s="2" t="s">
        <v>3163</v>
      </c>
      <c r="C67" s="2" t="s">
        <v>1058</v>
      </c>
      <c r="D67" s="2" t="s">
        <v>1059</v>
      </c>
      <c r="E67" s="2" t="s">
        <v>1061</v>
      </c>
      <c r="F67" s="2" t="s">
        <v>487</v>
      </c>
      <c r="G67" s="2" t="s">
        <v>509</v>
      </c>
      <c r="H67" s="3">
        <v>40276</v>
      </c>
      <c r="I67" s="2">
        <v>700</v>
      </c>
    </row>
    <row r="68" spans="1:9" x14ac:dyDescent="0.4">
      <c r="A68" s="2">
        <v>67</v>
      </c>
      <c r="B68" s="2" t="s">
        <v>3164</v>
      </c>
      <c r="C68" s="2" t="s">
        <v>1062</v>
      </c>
      <c r="D68" s="2" t="s">
        <v>1063</v>
      </c>
      <c r="E68" s="2" t="s">
        <v>536</v>
      </c>
      <c r="F68" s="2" t="s">
        <v>487</v>
      </c>
      <c r="G68" s="2" t="s">
        <v>488</v>
      </c>
      <c r="H68" s="3">
        <v>44364</v>
      </c>
      <c r="I68" s="2">
        <v>720</v>
      </c>
    </row>
    <row r="69" spans="1:9" x14ac:dyDescent="0.4">
      <c r="A69" s="2">
        <v>68</v>
      </c>
      <c r="B69" s="2" t="s">
        <v>3165</v>
      </c>
      <c r="C69" s="2" t="s">
        <v>1095</v>
      </c>
      <c r="D69" s="2" t="s">
        <v>1096</v>
      </c>
      <c r="E69" s="2" t="s">
        <v>516</v>
      </c>
      <c r="F69" s="2" t="s">
        <v>487</v>
      </c>
      <c r="G69" s="2" t="s">
        <v>564</v>
      </c>
      <c r="H69" s="3">
        <v>35186</v>
      </c>
      <c r="I69" s="2">
        <v>550</v>
      </c>
    </row>
    <row r="70" spans="1:9" x14ac:dyDescent="0.4">
      <c r="A70" s="2">
        <v>69</v>
      </c>
      <c r="B70" s="2" t="s">
        <v>3166</v>
      </c>
      <c r="C70" s="2" t="s">
        <v>1098</v>
      </c>
      <c r="D70" s="2" t="s">
        <v>1099</v>
      </c>
      <c r="E70" s="2" t="s">
        <v>521</v>
      </c>
      <c r="F70" s="2" t="s">
        <v>487</v>
      </c>
      <c r="G70" s="2" t="s">
        <v>670</v>
      </c>
      <c r="H70" s="3">
        <v>37012</v>
      </c>
      <c r="I70" s="2">
        <v>1160</v>
      </c>
    </row>
    <row r="71" spans="1:9" x14ac:dyDescent="0.4">
      <c r="A71" s="2">
        <v>70</v>
      </c>
      <c r="B71" s="2" t="s">
        <v>3167</v>
      </c>
      <c r="C71" s="2" t="s">
        <v>913</v>
      </c>
      <c r="D71" s="2" t="s">
        <v>914</v>
      </c>
      <c r="E71" s="2" t="s">
        <v>548</v>
      </c>
      <c r="F71" s="2" t="s">
        <v>487</v>
      </c>
      <c r="G71" s="2" t="s">
        <v>724</v>
      </c>
      <c r="H71" s="3">
        <v>44938</v>
      </c>
      <c r="I71" s="2">
        <v>880</v>
      </c>
    </row>
    <row r="72" spans="1:9" x14ac:dyDescent="0.4">
      <c r="A72" s="2">
        <v>71</v>
      </c>
      <c r="B72" s="2" t="s">
        <v>3168</v>
      </c>
      <c r="C72" s="2" t="s">
        <v>994</v>
      </c>
      <c r="D72" s="2" t="s">
        <v>880</v>
      </c>
      <c r="E72" s="2" t="s">
        <v>717</v>
      </c>
      <c r="F72" s="2" t="s">
        <v>487</v>
      </c>
      <c r="G72" s="2" t="s">
        <v>488</v>
      </c>
      <c r="H72" s="3">
        <v>44890</v>
      </c>
      <c r="I72" s="2">
        <v>880</v>
      </c>
    </row>
    <row r="73" spans="1:9" x14ac:dyDescent="0.4">
      <c r="A73" s="2">
        <v>72</v>
      </c>
      <c r="B73" s="2" t="s">
        <v>3169</v>
      </c>
      <c r="C73" s="2" t="s">
        <v>996</v>
      </c>
      <c r="D73" s="2" t="s">
        <v>997</v>
      </c>
      <c r="E73" s="2" t="s">
        <v>548</v>
      </c>
      <c r="F73" s="2" t="s">
        <v>487</v>
      </c>
      <c r="G73" s="2" t="s">
        <v>488</v>
      </c>
      <c r="H73" s="3">
        <v>39356</v>
      </c>
      <c r="I73" s="2">
        <v>860</v>
      </c>
    </row>
    <row r="74" spans="1:9" x14ac:dyDescent="0.4">
      <c r="A74" s="2">
        <v>73</v>
      </c>
      <c r="B74" s="2" t="s">
        <v>3170</v>
      </c>
      <c r="C74" s="2" t="s">
        <v>1007</v>
      </c>
      <c r="D74" s="2" t="s">
        <v>1008</v>
      </c>
      <c r="E74" s="2" t="s">
        <v>501</v>
      </c>
      <c r="F74" s="2" t="s">
        <v>487</v>
      </c>
      <c r="G74" s="2" t="s">
        <v>1010</v>
      </c>
      <c r="H74" s="3">
        <v>44937</v>
      </c>
      <c r="I74" s="2">
        <v>1300</v>
      </c>
    </row>
    <row r="75" spans="1:9" x14ac:dyDescent="0.4">
      <c r="A75" s="2">
        <v>74</v>
      </c>
      <c r="B75" s="2" t="s">
        <v>3171</v>
      </c>
      <c r="C75" s="2" t="s">
        <v>1019</v>
      </c>
      <c r="D75" s="2" t="s">
        <v>1020</v>
      </c>
      <c r="E75" s="2" t="s">
        <v>516</v>
      </c>
      <c r="F75" s="2" t="s">
        <v>487</v>
      </c>
      <c r="G75" s="2" t="s">
        <v>488</v>
      </c>
      <c r="H75" s="3">
        <v>44132</v>
      </c>
      <c r="I75" s="2">
        <v>670</v>
      </c>
    </row>
    <row r="76" spans="1:9" x14ac:dyDescent="0.4">
      <c r="A76" s="2">
        <v>75</v>
      </c>
      <c r="B76" s="2" t="s">
        <v>3172</v>
      </c>
      <c r="C76" s="2" t="s">
        <v>1030</v>
      </c>
      <c r="D76" s="2" t="s">
        <v>1031</v>
      </c>
      <c r="E76" s="2" t="s">
        <v>501</v>
      </c>
      <c r="F76" s="2" t="s">
        <v>487</v>
      </c>
      <c r="G76" s="2" t="s">
        <v>488</v>
      </c>
      <c r="H76" s="3">
        <v>44937</v>
      </c>
      <c r="I76" s="2">
        <v>1000</v>
      </c>
    </row>
    <row r="77" spans="1:9" x14ac:dyDescent="0.4">
      <c r="A77" s="2">
        <v>76</v>
      </c>
      <c r="B77" s="2" t="s">
        <v>3173</v>
      </c>
      <c r="C77" s="2" t="s">
        <v>1039</v>
      </c>
      <c r="D77" s="2" t="s">
        <v>496</v>
      </c>
      <c r="E77" s="2" t="s">
        <v>516</v>
      </c>
      <c r="F77" s="2" t="s">
        <v>487</v>
      </c>
      <c r="G77" s="2" t="s">
        <v>488</v>
      </c>
      <c r="H77" s="3">
        <v>44739</v>
      </c>
      <c r="I77" s="2">
        <v>710</v>
      </c>
    </row>
    <row r="78" spans="1:9" x14ac:dyDescent="0.4">
      <c r="A78" s="2">
        <v>77</v>
      </c>
      <c r="B78" s="2" t="s">
        <v>3174</v>
      </c>
      <c r="C78" s="2" t="s">
        <v>1043</v>
      </c>
      <c r="D78" s="2" t="s">
        <v>1044</v>
      </c>
      <c r="E78" s="2" t="s">
        <v>516</v>
      </c>
      <c r="F78" s="2" t="s">
        <v>487</v>
      </c>
      <c r="G78" s="2" t="s">
        <v>488</v>
      </c>
      <c r="H78" s="3">
        <v>37681</v>
      </c>
      <c r="I78" s="2">
        <v>630</v>
      </c>
    </row>
    <row r="79" spans="1:9" x14ac:dyDescent="0.4">
      <c r="A79" s="2">
        <v>78</v>
      </c>
      <c r="B79" s="2" t="s">
        <v>3175</v>
      </c>
      <c r="C79" s="2" t="s">
        <v>1070</v>
      </c>
      <c r="D79" s="2" t="s">
        <v>1071</v>
      </c>
      <c r="E79" s="2" t="s">
        <v>639</v>
      </c>
      <c r="F79" s="2" t="s">
        <v>487</v>
      </c>
      <c r="G79" s="2" t="s">
        <v>488</v>
      </c>
      <c r="H79" s="3">
        <v>42650</v>
      </c>
      <c r="I79" s="2">
        <v>680</v>
      </c>
    </row>
    <row r="80" spans="1:9" x14ac:dyDescent="0.4">
      <c r="A80" s="2">
        <v>79</v>
      </c>
      <c r="B80" s="2" t="s">
        <v>3176</v>
      </c>
      <c r="C80" s="2" t="s">
        <v>1076</v>
      </c>
      <c r="D80" s="2" t="s">
        <v>1077</v>
      </c>
      <c r="E80" s="2" t="s">
        <v>639</v>
      </c>
      <c r="F80" s="2" t="s">
        <v>487</v>
      </c>
      <c r="G80" s="2" t="s">
        <v>488</v>
      </c>
      <c r="H80" s="3">
        <v>44441</v>
      </c>
      <c r="I80" s="2">
        <v>810</v>
      </c>
    </row>
    <row r="81" spans="1:9" x14ac:dyDescent="0.4">
      <c r="A81" s="2">
        <v>80</v>
      </c>
      <c r="B81" s="2" t="s">
        <v>3177</v>
      </c>
      <c r="C81" s="2" t="s">
        <v>1079</v>
      </c>
      <c r="D81" s="2" t="s">
        <v>1080</v>
      </c>
      <c r="E81" s="2" t="s">
        <v>501</v>
      </c>
      <c r="F81" s="2" t="s">
        <v>487</v>
      </c>
      <c r="G81" s="2" t="s">
        <v>724</v>
      </c>
      <c r="H81" s="3">
        <v>44879</v>
      </c>
      <c r="I81" s="2">
        <v>1200</v>
      </c>
    </row>
    <row r="82" spans="1:9" x14ac:dyDescent="0.4">
      <c r="A82" s="2">
        <v>81</v>
      </c>
      <c r="B82" s="2" t="s">
        <v>3178</v>
      </c>
      <c r="C82" s="2" t="s">
        <v>1086</v>
      </c>
      <c r="D82" s="2" t="s">
        <v>1087</v>
      </c>
      <c r="E82" s="2" t="s">
        <v>521</v>
      </c>
      <c r="F82" s="2" t="s">
        <v>487</v>
      </c>
      <c r="G82" s="2" t="s">
        <v>505</v>
      </c>
      <c r="H82" s="3">
        <v>42417</v>
      </c>
      <c r="I82" s="2">
        <v>1400</v>
      </c>
    </row>
    <row r="83" spans="1:9" x14ac:dyDescent="0.4">
      <c r="A83" s="2">
        <v>82</v>
      </c>
      <c r="B83" s="2" t="s">
        <v>3179</v>
      </c>
      <c r="C83" s="2" t="s">
        <v>1103</v>
      </c>
      <c r="D83" s="2" t="s">
        <v>1104</v>
      </c>
      <c r="E83" s="2" t="s">
        <v>639</v>
      </c>
      <c r="F83" s="2" t="s">
        <v>487</v>
      </c>
      <c r="G83" s="2" t="s">
        <v>488</v>
      </c>
      <c r="H83" s="3">
        <v>44442</v>
      </c>
      <c r="I83" s="2">
        <v>820</v>
      </c>
    </row>
    <row r="84" spans="1:9" x14ac:dyDescent="0.4">
      <c r="A84" s="2">
        <v>83</v>
      </c>
      <c r="B84" s="2" t="s">
        <v>3180</v>
      </c>
      <c r="C84" s="2" t="s">
        <v>1120</v>
      </c>
      <c r="D84" s="2" t="s">
        <v>1121</v>
      </c>
      <c r="E84" s="2" t="s">
        <v>521</v>
      </c>
      <c r="F84" s="2" t="s">
        <v>487</v>
      </c>
      <c r="G84" s="2" t="s">
        <v>483</v>
      </c>
      <c r="H84" s="3">
        <v>44849</v>
      </c>
      <c r="I84" s="2">
        <v>1620</v>
      </c>
    </row>
    <row r="85" spans="1:9" x14ac:dyDescent="0.4">
      <c r="A85" s="2">
        <v>84</v>
      </c>
      <c r="B85" s="2" t="s">
        <v>3282</v>
      </c>
      <c r="C85" s="2" t="s">
        <v>1123</v>
      </c>
      <c r="D85" s="2" t="s">
        <v>1124</v>
      </c>
      <c r="E85" s="2" t="s">
        <v>1125</v>
      </c>
      <c r="F85" s="2" t="s">
        <v>487</v>
      </c>
      <c r="G85" s="2" t="s">
        <v>579</v>
      </c>
      <c r="H85" s="3">
        <v>44942</v>
      </c>
      <c r="I85" s="2">
        <v>1200</v>
      </c>
    </row>
    <row r="86" spans="1:9" x14ac:dyDescent="0.4">
      <c r="A86" s="2">
        <v>85</v>
      </c>
      <c r="B86" s="2" t="s">
        <v>3283</v>
      </c>
      <c r="C86" s="2" t="s">
        <v>1146</v>
      </c>
      <c r="D86" s="2" t="s">
        <v>918</v>
      </c>
      <c r="E86" s="2" t="s">
        <v>597</v>
      </c>
      <c r="F86" s="2" t="s">
        <v>487</v>
      </c>
      <c r="G86" s="2" t="s">
        <v>509</v>
      </c>
      <c r="H86" s="3">
        <v>44949</v>
      </c>
      <c r="I86" s="2">
        <v>600</v>
      </c>
    </row>
    <row r="87" spans="1:9" x14ac:dyDescent="0.4">
      <c r="A87" s="2">
        <v>86</v>
      </c>
      <c r="B87" s="2" t="s">
        <v>3284</v>
      </c>
      <c r="C87" s="2" t="s">
        <v>946</v>
      </c>
      <c r="D87" s="2" t="s">
        <v>947</v>
      </c>
      <c r="E87" s="2" t="s">
        <v>521</v>
      </c>
      <c r="F87" s="2" t="s">
        <v>487</v>
      </c>
      <c r="G87" s="2" t="s">
        <v>502</v>
      </c>
      <c r="H87" s="3">
        <v>44785</v>
      </c>
      <c r="I87" s="2">
        <v>840</v>
      </c>
    </row>
    <row r="88" spans="1:9" x14ac:dyDescent="0.4">
      <c r="A88" s="2">
        <v>87</v>
      </c>
      <c r="B88" s="2" t="s">
        <v>3285</v>
      </c>
      <c r="C88" s="2" t="s">
        <v>1106</v>
      </c>
      <c r="D88" s="2" t="s">
        <v>1107</v>
      </c>
      <c r="E88" s="2" t="s">
        <v>516</v>
      </c>
      <c r="F88" s="2" t="s">
        <v>487</v>
      </c>
      <c r="G88" s="2" t="s">
        <v>488</v>
      </c>
      <c r="H88" s="3">
        <v>44918</v>
      </c>
      <c r="I88" s="2">
        <v>590</v>
      </c>
    </row>
    <row r="89" spans="1:9" x14ac:dyDescent="0.4">
      <c r="A89" s="2">
        <v>88</v>
      </c>
      <c r="B89" s="2" t="s">
        <v>3286</v>
      </c>
      <c r="C89" s="2" t="s">
        <v>1172</v>
      </c>
      <c r="D89" s="2" t="s">
        <v>1173</v>
      </c>
      <c r="E89" s="2" t="s">
        <v>1175</v>
      </c>
      <c r="F89" s="2" t="s">
        <v>487</v>
      </c>
      <c r="G89" s="2" t="s">
        <v>488</v>
      </c>
      <c r="H89" s="3">
        <v>44617</v>
      </c>
      <c r="I89" s="2">
        <v>740</v>
      </c>
    </row>
    <row r="90" spans="1:9" x14ac:dyDescent="0.4">
      <c r="A90" s="2">
        <v>89</v>
      </c>
      <c r="B90" s="2" t="s">
        <v>3287</v>
      </c>
      <c r="C90" s="2" t="s">
        <v>1190</v>
      </c>
      <c r="D90" s="2" t="s">
        <v>1191</v>
      </c>
      <c r="E90" s="2" t="s">
        <v>501</v>
      </c>
      <c r="F90" s="2" t="s">
        <v>487</v>
      </c>
      <c r="G90" s="2" t="s">
        <v>1053</v>
      </c>
      <c r="H90" s="3">
        <v>44783</v>
      </c>
      <c r="I90" s="2">
        <v>1400</v>
      </c>
    </row>
    <row r="91" spans="1:9" x14ac:dyDescent="0.4">
      <c r="A91" s="2">
        <v>90</v>
      </c>
      <c r="B91" s="2" t="s">
        <v>3288</v>
      </c>
      <c r="C91" s="2" t="s">
        <v>1194</v>
      </c>
      <c r="D91" s="2" t="s">
        <v>1195</v>
      </c>
      <c r="E91" s="2" t="s">
        <v>516</v>
      </c>
      <c r="F91" s="2" t="s">
        <v>487</v>
      </c>
      <c r="G91" s="2" t="s">
        <v>488</v>
      </c>
      <c r="H91" s="3">
        <v>39661</v>
      </c>
      <c r="I91" s="2">
        <v>280</v>
      </c>
    </row>
    <row r="92" spans="1:9" x14ac:dyDescent="0.4">
      <c r="A92" s="2">
        <v>91</v>
      </c>
      <c r="B92" s="2" t="s">
        <v>3289</v>
      </c>
      <c r="C92" s="2" t="s">
        <v>1210</v>
      </c>
      <c r="D92" s="2" t="s">
        <v>1191</v>
      </c>
      <c r="E92" s="2" t="s">
        <v>501</v>
      </c>
      <c r="F92" s="2" t="s">
        <v>487</v>
      </c>
      <c r="G92" s="2" t="s">
        <v>1053</v>
      </c>
      <c r="H92" s="3">
        <v>44783</v>
      </c>
      <c r="I92" s="2">
        <v>1300</v>
      </c>
    </row>
    <row r="93" spans="1:9" x14ac:dyDescent="0.4">
      <c r="A93" s="2">
        <v>92</v>
      </c>
      <c r="B93" s="2" t="s">
        <v>3290</v>
      </c>
      <c r="C93" s="2" t="s">
        <v>1212</v>
      </c>
      <c r="D93" s="2" t="s">
        <v>1213</v>
      </c>
      <c r="E93" s="2" t="s">
        <v>714</v>
      </c>
      <c r="F93" s="2" t="s">
        <v>487</v>
      </c>
      <c r="G93" s="2" t="s">
        <v>488</v>
      </c>
      <c r="H93" s="3">
        <v>43565</v>
      </c>
      <c r="I93" s="2">
        <v>790</v>
      </c>
    </row>
    <row r="94" spans="1:9" x14ac:dyDescent="0.4">
      <c r="A94" s="2">
        <v>93</v>
      </c>
      <c r="B94" s="2" t="s">
        <v>3291</v>
      </c>
      <c r="C94" s="2" t="s">
        <v>975</v>
      </c>
      <c r="D94" s="2" t="s">
        <v>976</v>
      </c>
      <c r="E94" s="2" t="s">
        <v>639</v>
      </c>
      <c r="F94" s="2" t="s">
        <v>487</v>
      </c>
      <c r="G94" s="2" t="s">
        <v>488</v>
      </c>
      <c r="H94" s="3">
        <v>44776</v>
      </c>
      <c r="I94" s="2">
        <v>660</v>
      </c>
    </row>
    <row r="95" spans="1:9" x14ac:dyDescent="0.4">
      <c r="A95" s="2">
        <v>94</v>
      </c>
      <c r="B95" s="2" t="s">
        <v>3292</v>
      </c>
      <c r="C95" s="2" t="s">
        <v>1028</v>
      </c>
      <c r="D95" s="2" t="s">
        <v>846</v>
      </c>
      <c r="E95" s="2" t="s">
        <v>848</v>
      </c>
      <c r="F95" s="2" t="s">
        <v>487</v>
      </c>
      <c r="G95" s="2" t="s">
        <v>579</v>
      </c>
      <c r="H95" s="3">
        <v>40942</v>
      </c>
      <c r="I95" s="2">
        <v>900</v>
      </c>
    </row>
    <row r="96" spans="1:9" x14ac:dyDescent="0.4">
      <c r="A96" s="2">
        <v>95</v>
      </c>
      <c r="B96" s="2" t="s">
        <v>3293</v>
      </c>
      <c r="C96" s="2" t="s">
        <v>1222</v>
      </c>
      <c r="D96" s="2" t="s">
        <v>562</v>
      </c>
      <c r="E96" s="2" t="s">
        <v>521</v>
      </c>
      <c r="F96" s="2" t="s">
        <v>487</v>
      </c>
      <c r="G96" s="2" t="s">
        <v>564</v>
      </c>
      <c r="H96" s="3">
        <v>44820</v>
      </c>
      <c r="I96" s="2">
        <v>1140</v>
      </c>
    </row>
    <row r="97" spans="1:9" x14ac:dyDescent="0.4">
      <c r="A97" s="2">
        <v>96</v>
      </c>
      <c r="B97" s="2" t="s">
        <v>3294</v>
      </c>
      <c r="C97" s="2" t="s">
        <v>1263</v>
      </c>
      <c r="D97" s="2" t="s">
        <v>1264</v>
      </c>
      <c r="E97" s="2" t="s">
        <v>516</v>
      </c>
      <c r="F97" s="2" t="s">
        <v>487</v>
      </c>
      <c r="G97" s="2" t="s">
        <v>488</v>
      </c>
      <c r="H97" s="3">
        <v>44862</v>
      </c>
      <c r="I97" s="2">
        <v>950</v>
      </c>
    </row>
    <row r="98" spans="1:9" x14ac:dyDescent="0.4">
      <c r="A98" s="2">
        <v>97</v>
      </c>
      <c r="B98" s="2" t="s">
        <v>3295</v>
      </c>
      <c r="C98" s="2" t="s">
        <v>1280</v>
      </c>
      <c r="D98" s="2" t="s">
        <v>1213</v>
      </c>
      <c r="E98" s="2" t="s">
        <v>714</v>
      </c>
      <c r="F98" s="2" t="s">
        <v>487</v>
      </c>
      <c r="G98" s="2" t="s">
        <v>488</v>
      </c>
      <c r="H98" s="3">
        <v>43565</v>
      </c>
      <c r="I98" s="2">
        <v>790</v>
      </c>
    </row>
    <row r="99" spans="1:9" x14ac:dyDescent="0.4">
      <c r="A99" s="2">
        <v>98</v>
      </c>
      <c r="B99" s="2" t="s">
        <v>3296</v>
      </c>
      <c r="C99" s="2" t="s">
        <v>1304</v>
      </c>
      <c r="D99" s="2" t="s">
        <v>1071</v>
      </c>
      <c r="E99" s="2" t="s">
        <v>548</v>
      </c>
      <c r="F99" s="2" t="s">
        <v>487</v>
      </c>
      <c r="G99" s="2" t="s">
        <v>488</v>
      </c>
      <c r="H99" s="3">
        <v>38231</v>
      </c>
      <c r="I99" s="2">
        <v>650</v>
      </c>
    </row>
    <row r="100" spans="1:9" x14ac:dyDescent="0.4">
      <c r="A100" s="2">
        <v>99</v>
      </c>
      <c r="B100" s="2" t="s">
        <v>3297</v>
      </c>
      <c r="C100" s="2" t="s">
        <v>1334</v>
      </c>
      <c r="D100" s="2" t="s">
        <v>1335</v>
      </c>
      <c r="E100" s="2" t="s">
        <v>516</v>
      </c>
      <c r="F100" s="2" t="s">
        <v>487</v>
      </c>
      <c r="G100" s="2" t="s">
        <v>488</v>
      </c>
      <c r="H100" s="3">
        <v>44893</v>
      </c>
      <c r="I100" s="2">
        <v>630</v>
      </c>
    </row>
    <row r="101" spans="1:9" x14ac:dyDescent="0.4">
      <c r="A101" s="2">
        <v>100</v>
      </c>
      <c r="B101" s="2" t="s">
        <v>3298</v>
      </c>
      <c r="C101" s="2" t="s">
        <v>1337</v>
      </c>
      <c r="D101" s="2" t="s">
        <v>1015</v>
      </c>
      <c r="E101" s="2" t="s">
        <v>501</v>
      </c>
      <c r="F101" s="2" t="s">
        <v>487</v>
      </c>
      <c r="G101" s="2" t="s">
        <v>655</v>
      </c>
      <c r="H101" s="3">
        <v>44477</v>
      </c>
      <c r="I101" s="2">
        <v>1500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H101"/>
  <sheetViews>
    <sheetView workbookViewId="0">
      <selection activeCell="I1" sqref="I1:J1048576"/>
    </sheetView>
  </sheetViews>
  <sheetFormatPr defaultRowHeight="18.75" x14ac:dyDescent="0.4"/>
  <cols>
    <col min="1" max="1" width="4.625" bestFit="1" customWidth="1"/>
    <col min="2" max="2" width="14.25" bestFit="1" customWidth="1"/>
    <col min="3" max="3" width="22.125" customWidth="1"/>
    <col min="4" max="4" width="14.5" customWidth="1"/>
    <col min="5" max="5" width="14.375" customWidth="1"/>
    <col min="6" max="7" width="12.125" customWidth="1"/>
    <col min="8" max="8" width="9.75" customWidth="1"/>
  </cols>
  <sheetData>
    <row r="1" spans="1:8" x14ac:dyDescent="0.4">
      <c r="A1" s="4" t="s">
        <v>3281</v>
      </c>
      <c r="B1" s="4" t="s">
        <v>7</v>
      </c>
      <c r="C1" s="4" t="s">
        <v>9</v>
      </c>
      <c r="D1" s="4" t="s">
        <v>10</v>
      </c>
      <c r="E1" s="4" t="s">
        <v>13</v>
      </c>
      <c r="F1" s="4" t="s">
        <v>17</v>
      </c>
      <c r="G1" s="4" t="s">
        <v>18</v>
      </c>
      <c r="H1" s="4" t="s">
        <v>19</v>
      </c>
    </row>
    <row r="2" spans="1:8" x14ac:dyDescent="0.4">
      <c r="A2" s="2">
        <v>1</v>
      </c>
      <c r="B2" s="2" t="s">
        <v>2998</v>
      </c>
      <c r="C2" s="2" t="s">
        <v>478</v>
      </c>
      <c r="D2" s="2" t="s">
        <v>479</v>
      </c>
      <c r="E2" s="2" t="s">
        <v>480</v>
      </c>
      <c r="F2" s="2" t="s">
        <v>483</v>
      </c>
      <c r="G2" s="3">
        <v>44933</v>
      </c>
      <c r="H2" s="2">
        <v>930</v>
      </c>
    </row>
    <row r="3" spans="1:8" x14ac:dyDescent="0.4">
      <c r="A3" s="2">
        <v>2</v>
      </c>
      <c r="B3" s="2" t="s">
        <v>2999</v>
      </c>
      <c r="C3" s="2" t="s">
        <v>528</v>
      </c>
      <c r="D3" s="2" t="s">
        <v>529</v>
      </c>
      <c r="E3" s="2" t="s">
        <v>521</v>
      </c>
      <c r="F3" s="2" t="s">
        <v>505</v>
      </c>
      <c r="G3" s="3">
        <v>44949</v>
      </c>
      <c r="H3" s="2">
        <v>840</v>
      </c>
    </row>
    <row r="4" spans="1:8" x14ac:dyDescent="0.4">
      <c r="A4" s="2">
        <v>3</v>
      </c>
      <c r="B4" s="2" t="s">
        <v>3000</v>
      </c>
      <c r="C4" s="2" t="s">
        <v>499</v>
      </c>
      <c r="D4" s="2" t="s">
        <v>500</v>
      </c>
      <c r="E4" s="2" t="s">
        <v>501</v>
      </c>
      <c r="F4" s="2" t="s">
        <v>502</v>
      </c>
      <c r="G4" s="3">
        <v>44903</v>
      </c>
      <c r="H4" s="2">
        <v>860</v>
      </c>
    </row>
    <row r="5" spans="1:8" x14ac:dyDescent="0.4">
      <c r="A5" s="2">
        <v>4</v>
      </c>
      <c r="B5" s="2" t="s">
        <v>3001</v>
      </c>
      <c r="C5" s="2" t="s">
        <v>526</v>
      </c>
      <c r="D5" s="2" t="s">
        <v>504</v>
      </c>
      <c r="E5" s="2" t="s">
        <v>521</v>
      </c>
      <c r="F5" s="2" t="s">
        <v>505</v>
      </c>
      <c r="G5" s="3">
        <v>44949</v>
      </c>
      <c r="H5" s="2">
        <v>840</v>
      </c>
    </row>
    <row r="6" spans="1:8" x14ac:dyDescent="0.4">
      <c r="A6" s="2">
        <v>5</v>
      </c>
      <c r="B6" s="2" t="s">
        <v>3002</v>
      </c>
      <c r="C6" s="2" t="s">
        <v>531</v>
      </c>
      <c r="D6" s="2" t="s">
        <v>532</v>
      </c>
      <c r="E6" s="2" t="s">
        <v>521</v>
      </c>
      <c r="F6" s="2" t="s">
        <v>502</v>
      </c>
      <c r="G6" s="3">
        <v>44949</v>
      </c>
      <c r="H6" s="2">
        <v>980</v>
      </c>
    </row>
    <row r="7" spans="1:8" x14ac:dyDescent="0.4">
      <c r="A7" s="2">
        <v>6</v>
      </c>
      <c r="B7" s="2" t="s">
        <v>3003</v>
      </c>
      <c r="C7" s="2" t="s">
        <v>555</v>
      </c>
      <c r="D7" s="2" t="s">
        <v>556</v>
      </c>
      <c r="E7" s="2" t="s">
        <v>521</v>
      </c>
      <c r="F7" s="2" t="s">
        <v>558</v>
      </c>
      <c r="G7" s="3">
        <v>44949</v>
      </c>
      <c r="H7" s="2">
        <v>900</v>
      </c>
    </row>
    <row r="8" spans="1:8" x14ac:dyDescent="0.4">
      <c r="A8" s="2">
        <v>7</v>
      </c>
      <c r="B8" s="2" t="s">
        <v>3004</v>
      </c>
      <c r="C8" s="2" t="s">
        <v>538</v>
      </c>
      <c r="D8" s="2" t="s">
        <v>539</v>
      </c>
      <c r="E8" s="2" t="s">
        <v>540</v>
      </c>
      <c r="F8" s="2" t="s">
        <v>505</v>
      </c>
      <c r="G8" s="3">
        <v>44944</v>
      </c>
      <c r="H8" s="2">
        <v>820</v>
      </c>
    </row>
    <row r="9" spans="1:8" x14ac:dyDescent="0.4">
      <c r="A9" s="2">
        <v>8</v>
      </c>
      <c r="B9" s="2" t="s">
        <v>3005</v>
      </c>
      <c r="C9" s="2" t="s">
        <v>567</v>
      </c>
      <c r="D9" s="2" t="s">
        <v>568</v>
      </c>
      <c r="E9" s="2" t="s">
        <v>501</v>
      </c>
      <c r="F9" s="2" t="s">
        <v>569</v>
      </c>
      <c r="G9" s="3">
        <v>44933</v>
      </c>
      <c r="H9" s="2">
        <v>920</v>
      </c>
    </row>
    <row r="10" spans="1:8" x14ac:dyDescent="0.4">
      <c r="A10" s="2">
        <v>9</v>
      </c>
      <c r="B10" s="2" t="s">
        <v>3006</v>
      </c>
      <c r="C10" s="2" t="s">
        <v>559</v>
      </c>
      <c r="D10" s="2" t="s">
        <v>560</v>
      </c>
      <c r="E10" s="2" t="s">
        <v>540</v>
      </c>
      <c r="F10" s="2" t="s">
        <v>502</v>
      </c>
      <c r="G10" s="3">
        <v>44944</v>
      </c>
      <c r="H10" s="2">
        <v>860</v>
      </c>
    </row>
    <row r="11" spans="1:8" x14ac:dyDescent="0.4">
      <c r="A11" s="2">
        <v>10</v>
      </c>
      <c r="B11" s="2" t="s">
        <v>3007</v>
      </c>
      <c r="C11" s="2" t="s">
        <v>576</v>
      </c>
      <c r="D11" s="2" t="s">
        <v>577</v>
      </c>
      <c r="E11" s="2" t="s">
        <v>521</v>
      </c>
      <c r="F11" s="2" t="s">
        <v>579</v>
      </c>
      <c r="G11" s="3">
        <v>44916</v>
      </c>
      <c r="H11" s="2">
        <v>860</v>
      </c>
    </row>
    <row r="12" spans="1:8" x14ac:dyDescent="0.4">
      <c r="A12" s="2">
        <v>11</v>
      </c>
      <c r="B12" s="2" t="s">
        <v>3008</v>
      </c>
      <c r="C12" s="2" t="s">
        <v>591</v>
      </c>
      <c r="D12" s="2" t="s">
        <v>592</v>
      </c>
      <c r="E12" s="2" t="s">
        <v>540</v>
      </c>
      <c r="F12" s="2" t="s">
        <v>593</v>
      </c>
      <c r="G12" s="3">
        <v>44944</v>
      </c>
      <c r="H12" s="2">
        <v>900</v>
      </c>
    </row>
    <row r="13" spans="1:8" x14ac:dyDescent="0.4">
      <c r="A13" s="2">
        <v>12</v>
      </c>
      <c r="B13" s="2" t="s">
        <v>3009</v>
      </c>
      <c r="C13" s="2" t="s">
        <v>565</v>
      </c>
      <c r="D13" s="2" t="s">
        <v>566</v>
      </c>
      <c r="E13" s="2" t="s">
        <v>501</v>
      </c>
      <c r="F13" s="2" t="s">
        <v>505</v>
      </c>
      <c r="G13" s="3">
        <v>44933</v>
      </c>
      <c r="H13" s="2">
        <v>880</v>
      </c>
    </row>
    <row r="14" spans="1:8" x14ac:dyDescent="0.4">
      <c r="A14" s="2">
        <v>13</v>
      </c>
      <c r="B14" s="2" t="s">
        <v>3010</v>
      </c>
      <c r="C14" s="2" t="s">
        <v>598</v>
      </c>
      <c r="D14" s="2" t="s">
        <v>599</v>
      </c>
      <c r="E14" s="2" t="s">
        <v>516</v>
      </c>
      <c r="F14" s="2" t="s">
        <v>600</v>
      </c>
      <c r="G14" s="3">
        <v>44848</v>
      </c>
      <c r="H14" s="2">
        <v>880</v>
      </c>
    </row>
    <row r="15" spans="1:8" x14ac:dyDescent="0.4">
      <c r="A15" s="2">
        <v>14</v>
      </c>
      <c r="B15" s="2" t="s">
        <v>3011</v>
      </c>
      <c r="C15" s="2" t="s">
        <v>580</v>
      </c>
      <c r="D15" s="2" t="s">
        <v>581</v>
      </c>
      <c r="E15" s="2" t="s">
        <v>501</v>
      </c>
      <c r="F15" s="2" t="s">
        <v>509</v>
      </c>
      <c r="G15" s="3">
        <v>44845</v>
      </c>
      <c r="H15" s="2">
        <v>860</v>
      </c>
    </row>
    <row r="16" spans="1:8" x14ac:dyDescent="0.4">
      <c r="A16" s="2">
        <v>15</v>
      </c>
      <c r="B16" s="2" t="s">
        <v>3012</v>
      </c>
      <c r="C16" s="2" t="s">
        <v>546</v>
      </c>
      <c r="D16" s="2" t="s">
        <v>547</v>
      </c>
      <c r="E16" s="2" t="s">
        <v>548</v>
      </c>
      <c r="F16" s="2" t="s">
        <v>549</v>
      </c>
      <c r="G16" s="3">
        <v>44699</v>
      </c>
      <c r="H16" s="2">
        <v>1200</v>
      </c>
    </row>
    <row r="17" spans="1:8" x14ac:dyDescent="0.4">
      <c r="A17" s="2">
        <v>16</v>
      </c>
      <c r="B17" s="2" t="s">
        <v>3013</v>
      </c>
      <c r="C17" s="2" t="s">
        <v>608</v>
      </c>
      <c r="D17" s="2" t="s">
        <v>609</v>
      </c>
      <c r="E17" s="2" t="s">
        <v>501</v>
      </c>
      <c r="F17" s="2" t="s">
        <v>610</v>
      </c>
      <c r="G17" s="3">
        <v>44933</v>
      </c>
      <c r="H17" s="2">
        <v>840</v>
      </c>
    </row>
    <row r="18" spans="1:8" x14ac:dyDescent="0.4">
      <c r="A18" s="2">
        <v>17</v>
      </c>
      <c r="B18" s="2" t="s">
        <v>3014</v>
      </c>
      <c r="C18" s="2" t="s">
        <v>626</v>
      </c>
      <c r="D18" s="2" t="s">
        <v>627</v>
      </c>
      <c r="E18" s="2" t="s">
        <v>521</v>
      </c>
      <c r="F18" s="2" t="s">
        <v>505</v>
      </c>
      <c r="G18" s="3">
        <v>44916</v>
      </c>
      <c r="H18" s="2">
        <v>860</v>
      </c>
    </row>
    <row r="19" spans="1:8" x14ac:dyDescent="0.4">
      <c r="A19" s="2">
        <v>18</v>
      </c>
      <c r="B19" s="2" t="s">
        <v>3015</v>
      </c>
      <c r="C19" s="2" t="s">
        <v>615</v>
      </c>
      <c r="D19" s="2" t="s">
        <v>616</v>
      </c>
      <c r="E19" s="2" t="s">
        <v>521</v>
      </c>
      <c r="F19" s="2" t="s">
        <v>537</v>
      </c>
      <c r="G19" s="3">
        <v>44916</v>
      </c>
      <c r="H19" s="2">
        <v>880</v>
      </c>
    </row>
    <row r="20" spans="1:8" x14ac:dyDescent="0.4">
      <c r="A20" s="2">
        <v>19</v>
      </c>
      <c r="B20" s="2" t="s">
        <v>3016</v>
      </c>
      <c r="C20" s="2" t="s">
        <v>679</v>
      </c>
      <c r="D20" s="2" t="s">
        <v>680</v>
      </c>
      <c r="E20" s="2" t="s">
        <v>501</v>
      </c>
      <c r="F20" s="2" t="s">
        <v>549</v>
      </c>
      <c r="G20" s="3">
        <v>44933</v>
      </c>
      <c r="H20" s="2">
        <v>800</v>
      </c>
    </row>
    <row r="21" spans="1:8" x14ac:dyDescent="0.4">
      <c r="A21" s="2">
        <v>20</v>
      </c>
      <c r="B21" s="2" t="s">
        <v>3017</v>
      </c>
      <c r="C21" s="2" t="s">
        <v>643</v>
      </c>
      <c r="D21" s="2" t="s">
        <v>644</v>
      </c>
      <c r="E21" s="2" t="s">
        <v>540</v>
      </c>
      <c r="F21" s="2" t="s">
        <v>593</v>
      </c>
      <c r="G21" s="3">
        <v>44944</v>
      </c>
      <c r="H21" s="2">
        <v>840</v>
      </c>
    </row>
    <row r="22" spans="1:8" x14ac:dyDescent="0.4">
      <c r="A22" s="2">
        <v>21</v>
      </c>
      <c r="B22" s="2" t="s">
        <v>3018</v>
      </c>
      <c r="C22" s="2" t="s">
        <v>674</v>
      </c>
      <c r="D22" s="2" t="s">
        <v>675</v>
      </c>
      <c r="E22" s="2" t="s">
        <v>676</v>
      </c>
      <c r="F22" s="2" t="s">
        <v>509</v>
      </c>
      <c r="G22" s="3">
        <v>44908</v>
      </c>
      <c r="H22" s="2">
        <v>900</v>
      </c>
    </row>
    <row r="23" spans="1:8" x14ac:dyDescent="0.4">
      <c r="A23" s="2">
        <v>22</v>
      </c>
      <c r="B23" s="2" t="s">
        <v>3019</v>
      </c>
      <c r="C23" s="2" t="s">
        <v>671</v>
      </c>
      <c r="D23" s="2" t="s">
        <v>672</v>
      </c>
      <c r="E23" s="2" t="s">
        <v>548</v>
      </c>
      <c r="F23" s="2" t="s">
        <v>545</v>
      </c>
      <c r="G23" s="3">
        <v>44909</v>
      </c>
      <c r="H23" s="2">
        <v>1000</v>
      </c>
    </row>
    <row r="24" spans="1:8" x14ac:dyDescent="0.4">
      <c r="A24" s="2">
        <v>23</v>
      </c>
      <c r="B24" s="2" t="s">
        <v>3020</v>
      </c>
      <c r="C24" s="2" t="s">
        <v>645</v>
      </c>
      <c r="D24" s="2" t="s">
        <v>646</v>
      </c>
      <c r="E24" s="2" t="s">
        <v>540</v>
      </c>
      <c r="F24" s="2" t="s">
        <v>620</v>
      </c>
      <c r="G24" s="3">
        <v>44914</v>
      </c>
      <c r="H24" s="2">
        <v>1000</v>
      </c>
    </row>
    <row r="25" spans="1:8" x14ac:dyDescent="0.4">
      <c r="A25" s="2">
        <v>24</v>
      </c>
      <c r="B25" s="2" t="s">
        <v>3021</v>
      </c>
      <c r="C25" s="2" t="s">
        <v>659</v>
      </c>
      <c r="D25" s="2" t="s">
        <v>660</v>
      </c>
      <c r="E25" s="2" t="s">
        <v>548</v>
      </c>
      <c r="F25" s="2" t="s">
        <v>593</v>
      </c>
      <c r="G25" s="3">
        <v>44944</v>
      </c>
      <c r="H25" s="2">
        <v>1100</v>
      </c>
    </row>
    <row r="26" spans="1:8" x14ac:dyDescent="0.4">
      <c r="A26" s="2">
        <v>25</v>
      </c>
      <c r="B26" s="2" t="s">
        <v>3022</v>
      </c>
      <c r="C26" s="2" t="s">
        <v>704</v>
      </c>
      <c r="D26" s="2" t="s">
        <v>705</v>
      </c>
      <c r="E26" s="2" t="s">
        <v>516</v>
      </c>
      <c r="F26" s="2" t="s">
        <v>670</v>
      </c>
      <c r="G26" s="3">
        <v>44152</v>
      </c>
      <c r="H26" s="2">
        <v>980</v>
      </c>
    </row>
    <row r="27" spans="1:8" x14ac:dyDescent="0.4">
      <c r="A27" s="2">
        <v>26</v>
      </c>
      <c r="B27" s="2" t="s">
        <v>3023</v>
      </c>
      <c r="C27" s="2" t="s">
        <v>587</v>
      </c>
      <c r="D27" s="2" t="s">
        <v>514</v>
      </c>
      <c r="E27" s="2" t="s">
        <v>521</v>
      </c>
      <c r="F27" s="2" t="s">
        <v>483</v>
      </c>
      <c r="G27" s="3">
        <v>44855</v>
      </c>
      <c r="H27" s="2">
        <v>1280</v>
      </c>
    </row>
    <row r="28" spans="1:8" x14ac:dyDescent="0.4">
      <c r="A28" s="2">
        <v>27</v>
      </c>
      <c r="B28" s="2" t="s">
        <v>3024</v>
      </c>
      <c r="C28" s="2" t="s">
        <v>589</v>
      </c>
      <c r="D28" s="2" t="s">
        <v>590</v>
      </c>
      <c r="E28" s="2" t="s">
        <v>548</v>
      </c>
      <c r="F28" s="2" t="s">
        <v>505</v>
      </c>
      <c r="G28" s="3">
        <v>44909</v>
      </c>
      <c r="H28" s="2">
        <v>920</v>
      </c>
    </row>
    <row r="29" spans="1:8" x14ac:dyDescent="0.4">
      <c r="A29" s="2">
        <v>28</v>
      </c>
      <c r="B29" s="2" t="s">
        <v>3025</v>
      </c>
      <c r="C29" s="2" t="s">
        <v>629</v>
      </c>
      <c r="D29" s="2" t="s">
        <v>630</v>
      </c>
      <c r="E29" s="2" t="s">
        <v>501</v>
      </c>
      <c r="F29" s="2" t="s">
        <v>610</v>
      </c>
      <c r="G29" s="3">
        <v>44933</v>
      </c>
      <c r="H29" s="2">
        <v>900</v>
      </c>
    </row>
    <row r="30" spans="1:8" x14ac:dyDescent="0.4">
      <c r="A30" s="2">
        <v>29</v>
      </c>
      <c r="B30" s="2" t="s">
        <v>3026</v>
      </c>
      <c r="C30" s="2" t="s">
        <v>662</v>
      </c>
      <c r="D30" s="2" t="s">
        <v>663</v>
      </c>
      <c r="E30" s="2" t="s">
        <v>548</v>
      </c>
      <c r="F30" s="2" t="s">
        <v>483</v>
      </c>
      <c r="G30" s="3">
        <v>44909</v>
      </c>
      <c r="H30" s="2">
        <v>800</v>
      </c>
    </row>
    <row r="31" spans="1:8" x14ac:dyDescent="0.4">
      <c r="A31" s="2">
        <v>30</v>
      </c>
      <c r="B31" s="2" t="s">
        <v>3027</v>
      </c>
      <c r="C31" s="2" t="s">
        <v>698</v>
      </c>
      <c r="D31" s="2" t="s">
        <v>699</v>
      </c>
      <c r="E31" s="2" t="s">
        <v>521</v>
      </c>
      <c r="F31" s="2" t="s">
        <v>600</v>
      </c>
      <c r="G31" s="3">
        <v>44886</v>
      </c>
      <c r="H31" s="2">
        <v>820</v>
      </c>
    </row>
    <row r="32" spans="1:8" x14ac:dyDescent="0.4">
      <c r="A32" s="2">
        <v>31</v>
      </c>
      <c r="B32" s="2" t="s">
        <v>3028</v>
      </c>
      <c r="C32" s="2" t="s">
        <v>709</v>
      </c>
      <c r="D32" s="2" t="s">
        <v>710</v>
      </c>
      <c r="E32" s="2" t="s">
        <v>521</v>
      </c>
      <c r="F32" s="2" t="s">
        <v>505</v>
      </c>
      <c r="G32" s="3">
        <v>44916</v>
      </c>
      <c r="H32" s="2">
        <v>840</v>
      </c>
    </row>
    <row r="33" spans="1:8" x14ac:dyDescent="0.4">
      <c r="A33" s="2">
        <v>32</v>
      </c>
      <c r="B33" s="2" t="s">
        <v>3029</v>
      </c>
      <c r="C33" s="2" t="s">
        <v>712</v>
      </c>
      <c r="D33" s="2" t="s">
        <v>713</v>
      </c>
      <c r="E33" s="2" t="s">
        <v>714</v>
      </c>
      <c r="F33" s="2" t="s">
        <v>509</v>
      </c>
      <c r="G33" s="3">
        <v>44894</v>
      </c>
      <c r="H33" s="2">
        <v>940</v>
      </c>
    </row>
    <row r="34" spans="1:8" x14ac:dyDescent="0.4">
      <c r="A34" s="2">
        <v>33</v>
      </c>
      <c r="B34" s="2" t="s">
        <v>3030</v>
      </c>
      <c r="C34" s="2" t="s">
        <v>503</v>
      </c>
      <c r="D34" s="2" t="s">
        <v>504</v>
      </c>
      <c r="E34" s="2" t="s">
        <v>480</v>
      </c>
      <c r="F34" s="2" t="s">
        <v>505</v>
      </c>
      <c r="G34" s="3">
        <v>44932</v>
      </c>
      <c r="H34" s="2">
        <v>830</v>
      </c>
    </row>
    <row r="35" spans="1:8" x14ac:dyDescent="0.4">
      <c r="A35" s="2">
        <v>34</v>
      </c>
      <c r="B35" s="2" t="s">
        <v>3031</v>
      </c>
      <c r="C35" s="2" t="s">
        <v>677</v>
      </c>
      <c r="D35" s="2" t="s">
        <v>678</v>
      </c>
      <c r="E35" s="2" t="s">
        <v>639</v>
      </c>
      <c r="F35" s="2" t="s">
        <v>509</v>
      </c>
      <c r="G35" s="3">
        <v>44910</v>
      </c>
      <c r="H35" s="2">
        <v>900</v>
      </c>
    </row>
    <row r="36" spans="1:8" x14ac:dyDescent="0.4">
      <c r="A36" s="2">
        <v>35</v>
      </c>
      <c r="B36" s="2" t="s">
        <v>3032</v>
      </c>
      <c r="C36" s="2" t="s">
        <v>681</v>
      </c>
      <c r="D36" s="2" t="s">
        <v>682</v>
      </c>
      <c r="E36" s="2" t="s">
        <v>521</v>
      </c>
      <c r="F36" s="2" t="s">
        <v>569</v>
      </c>
      <c r="G36" s="3">
        <v>44855</v>
      </c>
      <c r="H36" s="2">
        <v>900</v>
      </c>
    </row>
    <row r="37" spans="1:8" x14ac:dyDescent="0.4">
      <c r="A37" s="2">
        <v>36</v>
      </c>
      <c r="B37" s="2" t="s">
        <v>3033</v>
      </c>
      <c r="C37" s="2" t="s">
        <v>718</v>
      </c>
      <c r="D37" s="2" t="s">
        <v>719</v>
      </c>
      <c r="E37" s="2" t="s">
        <v>548</v>
      </c>
      <c r="F37" s="2" t="s">
        <v>604</v>
      </c>
      <c r="G37" s="3">
        <v>44944</v>
      </c>
      <c r="H37" s="2">
        <v>1000</v>
      </c>
    </row>
    <row r="38" spans="1:8" x14ac:dyDescent="0.4">
      <c r="A38" s="2">
        <v>37</v>
      </c>
      <c r="B38" s="2" t="s">
        <v>3034</v>
      </c>
      <c r="C38" s="2" t="s">
        <v>725</v>
      </c>
      <c r="D38" s="2" t="s">
        <v>726</v>
      </c>
      <c r="E38" s="2" t="s">
        <v>501</v>
      </c>
      <c r="F38" s="2" t="s">
        <v>502</v>
      </c>
      <c r="G38" s="3">
        <v>44933</v>
      </c>
      <c r="H38" s="2">
        <v>900</v>
      </c>
    </row>
    <row r="39" spans="1:8" x14ac:dyDescent="0.4">
      <c r="A39" s="2">
        <v>38</v>
      </c>
      <c r="B39" s="2" t="s">
        <v>3035</v>
      </c>
      <c r="C39" s="2" t="s">
        <v>618</v>
      </c>
      <c r="D39" s="2" t="s">
        <v>619</v>
      </c>
      <c r="E39" s="2" t="s">
        <v>540</v>
      </c>
      <c r="F39" s="2" t="s">
        <v>620</v>
      </c>
      <c r="G39" s="3">
        <v>44883</v>
      </c>
      <c r="H39" s="2">
        <v>940</v>
      </c>
    </row>
    <row r="40" spans="1:8" x14ac:dyDescent="0.4">
      <c r="A40" s="2">
        <v>39</v>
      </c>
      <c r="B40" s="2" t="s">
        <v>3036</v>
      </c>
      <c r="C40" s="2" t="s">
        <v>650</v>
      </c>
      <c r="D40" s="2" t="s">
        <v>651</v>
      </c>
      <c r="E40" s="2" t="s">
        <v>548</v>
      </c>
      <c r="F40" s="2" t="s">
        <v>537</v>
      </c>
      <c r="G40" s="3">
        <v>44853</v>
      </c>
      <c r="H40" s="2">
        <v>900</v>
      </c>
    </row>
    <row r="41" spans="1:8" x14ac:dyDescent="0.4">
      <c r="A41" s="2">
        <v>40</v>
      </c>
      <c r="B41" s="2" t="s">
        <v>3037</v>
      </c>
      <c r="C41" s="2" t="s">
        <v>664</v>
      </c>
      <c r="D41" s="2" t="s">
        <v>665</v>
      </c>
      <c r="E41" s="2" t="s">
        <v>666</v>
      </c>
      <c r="F41" s="2" t="s">
        <v>505</v>
      </c>
      <c r="G41" s="3">
        <v>44748</v>
      </c>
      <c r="H41" s="2">
        <v>900</v>
      </c>
    </row>
    <row r="42" spans="1:8" x14ac:dyDescent="0.4">
      <c r="A42" s="2">
        <v>41</v>
      </c>
      <c r="B42" s="2" t="s">
        <v>3038</v>
      </c>
      <c r="C42" s="2" t="s">
        <v>752</v>
      </c>
      <c r="D42" s="2" t="s">
        <v>753</v>
      </c>
      <c r="E42" s="2" t="s">
        <v>540</v>
      </c>
      <c r="F42" s="2" t="s">
        <v>579</v>
      </c>
      <c r="G42" s="3">
        <v>44610</v>
      </c>
      <c r="H42" s="2">
        <v>960</v>
      </c>
    </row>
    <row r="43" spans="1:8" x14ac:dyDescent="0.4">
      <c r="A43" s="2">
        <v>42</v>
      </c>
      <c r="B43" s="2" t="s">
        <v>3039</v>
      </c>
      <c r="C43" s="2" t="s">
        <v>772</v>
      </c>
      <c r="D43" s="2" t="s">
        <v>773</v>
      </c>
      <c r="E43" s="2" t="s">
        <v>501</v>
      </c>
      <c r="F43" s="2" t="s">
        <v>620</v>
      </c>
      <c r="G43" s="3">
        <v>44933</v>
      </c>
      <c r="H43" s="2">
        <v>940</v>
      </c>
    </row>
    <row r="44" spans="1:8" x14ac:dyDescent="0.4">
      <c r="A44" s="2">
        <v>43</v>
      </c>
      <c r="B44" s="2" t="s">
        <v>3040</v>
      </c>
      <c r="C44" s="2" t="s">
        <v>735</v>
      </c>
      <c r="D44" s="2" t="s">
        <v>736</v>
      </c>
      <c r="E44" s="2" t="s">
        <v>540</v>
      </c>
      <c r="F44" s="2" t="s">
        <v>620</v>
      </c>
      <c r="G44" s="3">
        <v>44914</v>
      </c>
      <c r="H44" s="2">
        <v>880</v>
      </c>
    </row>
    <row r="45" spans="1:8" x14ac:dyDescent="0.4">
      <c r="A45" s="2">
        <v>44</v>
      </c>
      <c r="B45" s="2" t="s">
        <v>3041</v>
      </c>
      <c r="C45" s="2" t="s">
        <v>787</v>
      </c>
      <c r="D45" s="2" t="s">
        <v>788</v>
      </c>
      <c r="E45" s="2" t="s">
        <v>536</v>
      </c>
      <c r="F45" s="2" t="s">
        <v>724</v>
      </c>
      <c r="G45" s="3">
        <v>43539</v>
      </c>
      <c r="H45" s="2">
        <v>900</v>
      </c>
    </row>
    <row r="46" spans="1:8" x14ac:dyDescent="0.4">
      <c r="A46" s="2">
        <v>45</v>
      </c>
      <c r="B46" s="2" t="s">
        <v>3042</v>
      </c>
      <c r="C46" s="2" t="s">
        <v>553</v>
      </c>
      <c r="D46" s="2" t="s">
        <v>554</v>
      </c>
      <c r="E46" s="2" t="s">
        <v>548</v>
      </c>
      <c r="F46" s="2" t="s">
        <v>483</v>
      </c>
      <c r="G46" s="3">
        <v>44636</v>
      </c>
      <c r="H46" s="2">
        <v>900</v>
      </c>
    </row>
    <row r="47" spans="1:8" x14ac:dyDescent="0.4">
      <c r="A47" s="2">
        <v>46</v>
      </c>
      <c r="B47" s="2" t="s">
        <v>3043</v>
      </c>
      <c r="C47" s="2" t="s">
        <v>730</v>
      </c>
      <c r="D47" s="2" t="s">
        <v>731</v>
      </c>
      <c r="E47" s="2" t="s">
        <v>540</v>
      </c>
      <c r="F47" s="2" t="s">
        <v>593</v>
      </c>
      <c r="G47" s="3">
        <v>44914</v>
      </c>
      <c r="H47" s="2">
        <v>980</v>
      </c>
    </row>
    <row r="48" spans="1:8" x14ac:dyDescent="0.4">
      <c r="A48" s="2">
        <v>47</v>
      </c>
      <c r="B48" s="2" t="s">
        <v>3044</v>
      </c>
      <c r="C48" s="2" t="s">
        <v>744</v>
      </c>
      <c r="D48" s="2" t="s">
        <v>745</v>
      </c>
      <c r="E48" s="2" t="s">
        <v>548</v>
      </c>
      <c r="F48" s="2" t="s">
        <v>545</v>
      </c>
      <c r="G48" s="3">
        <v>44881</v>
      </c>
      <c r="H48" s="2">
        <v>1100</v>
      </c>
    </row>
    <row r="49" spans="1:8" x14ac:dyDescent="0.4">
      <c r="A49" s="2">
        <v>48</v>
      </c>
      <c r="B49" s="2" t="s">
        <v>3045</v>
      </c>
      <c r="C49" s="2" t="s">
        <v>818</v>
      </c>
      <c r="D49" s="2" t="s">
        <v>819</v>
      </c>
      <c r="E49" s="2" t="s">
        <v>536</v>
      </c>
      <c r="F49" s="2" t="s">
        <v>517</v>
      </c>
      <c r="G49" s="3">
        <v>44940</v>
      </c>
      <c r="H49" s="2">
        <v>940</v>
      </c>
    </row>
    <row r="50" spans="1:8" x14ac:dyDescent="0.4">
      <c r="A50" s="2">
        <v>49</v>
      </c>
      <c r="B50" s="2" t="s">
        <v>3046</v>
      </c>
      <c r="C50" s="2" t="s">
        <v>832</v>
      </c>
      <c r="D50" s="2" t="s">
        <v>833</v>
      </c>
      <c r="E50" s="2" t="s">
        <v>521</v>
      </c>
      <c r="F50" s="2" t="s">
        <v>766</v>
      </c>
      <c r="G50" s="3">
        <v>44949</v>
      </c>
      <c r="H50" s="2">
        <v>860</v>
      </c>
    </row>
    <row r="51" spans="1:8" x14ac:dyDescent="0.4">
      <c r="A51" s="2">
        <v>50</v>
      </c>
      <c r="B51" s="2" t="s">
        <v>3047</v>
      </c>
      <c r="C51" s="2" t="s">
        <v>747</v>
      </c>
      <c r="D51" s="2" t="s">
        <v>748</v>
      </c>
      <c r="E51" s="2" t="s">
        <v>540</v>
      </c>
      <c r="F51" s="2" t="s">
        <v>620</v>
      </c>
      <c r="G51" s="3">
        <v>44883</v>
      </c>
      <c r="H51" s="2">
        <v>840</v>
      </c>
    </row>
    <row r="52" spans="1:8" x14ac:dyDescent="0.4">
      <c r="A52" s="2">
        <v>51</v>
      </c>
      <c r="B52" s="2" t="s">
        <v>3048</v>
      </c>
      <c r="C52" s="2" t="s">
        <v>774</v>
      </c>
      <c r="D52" s="2" t="s">
        <v>775</v>
      </c>
      <c r="E52" s="2" t="s">
        <v>498</v>
      </c>
      <c r="F52" s="2" t="s">
        <v>505</v>
      </c>
      <c r="G52" s="3">
        <v>44908</v>
      </c>
      <c r="H52" s="2">
        <v>850</v>
      </c>
    </row>
    <row r="53" spans="1:8" x14ac:dyDescent="0.4">
      <c r="A53" s="2">
        <v>52</v>
      </c>
      <c r="B53" s="2" t="s">
        <v>3049</v>
      </c>
      <c r="C53" s="2" t="s">
        <v>785</v>
      </c>
      <c r="D53" s="2" t="s">
        <v>786</v>
      </c>
      <c r="E53" s="2" t="s">
        <v>501</v>
      </c>
      <c r="F53" s="2" t="s">
        <v>483</v>
      </c>
      <c r="G53" s="3">
        <v>44903</v>
      </c>
      <c r="H53" s="2">
        <v>1000</v>
      </c>
    </row>
    <row r="54" spans="1:8" x14ac:dyDescent="0.4">
      <c r="A54" s="2">
        <v>53</v>
      </c>
      <c r="B54" s="2" t="s">
        <v>3050</v>
      </c>
      <c r="C54" s="2" t="s">
        <v>792</v>
      </c>
      <c r="D54" s="2" t="s">
        <v>793</v>
      </c>
      <c r="E54" s="2" t="s">
        <v>548</v>
      </c>
      <c r="F54" s="2" t="s">
        <v>794</v>
      </c>
      <c r="G54" s="3">
        <v>44944</v>
      </c>
      <c r="H54" s="2">
        <v>920</v>
      </c>
    </row>
    <row r="55" spans="1:8" x14ac:dyDescent="0.4">
      <c r="A55" s="2">
        <v>54</v>
      </c>
      <c r="B55" s="2" t="s">
        <v>3051</v>
      </c>
      <c r="C55" s="2" t="s">
        <v>808</v>
      </c>
      <c r="D55" s="2" t="s">
        <v>809</v>
      </c>
      <c r="E55" s="2" t="s">
        <v>676</v>
      </c>
      <c r="F55" s="2" t="s">
        <v>610</v>
      </c>
      <c r="G55" s="3">
        <v>44908</v>
      </c>
      <c r="H55" s="2">
        <v>880</v>
      </c>
    </row>
    <row r="56" spans="1:8" x14ac:dyDescent="0.4">
      <c r="A56" s="2">
        <v>55</v>
      </c>
      <c r="B56" s="2" t="s">
        <v>3052</v>
      </c>
      <c r="C56" s="2" t="s">
        <v>701</v>
      </c>
      <c r="D56" s="2" t="s">
        <v>702</v>
      </c>
      <c r="E56" s="2" t="s">
        <v>540</v>
      </c>
      <c r="F56" s="2" t="s">
        <v>703</v>
      </c>
      <c r="G56" s="3">
        <v>29830</v>
      </c>
      <c r="H56" s="2">
        <v>700</v>
      </c>
    </row>
    <row r="57" spans="1:8" x14ac:dyDescent="0.4">
      <c r="A57" s="2">
        <v>56</v>
      </c>
      <c r="B57" s="2" t="s">
        <v>3053</v>
      </c>
      <c r="C57" s="2" t="s">
        <v>742</v>
      </c>
      <c r="D57" s="2" t="s">
        <v>743</v>
      </c>
      <c r="E57" s="2" t="s">
        <v>540</v>
      </c>
      <c r="F57" s="2" t="s">
        <v>502</v>
      </c>
      <c r="G57" s="3">
        <v>44853</v>
      </c>
      <c r="H57" s="2">
        <v>860</v>
      </c>
    </row>
    <row r="58" spans="1:8" x14ac:dyDescent="0.4">
      <c r="A58" s="2">
        <v>57</v>
      </c>
      <c r="B58" s="2" t="s">
        <v>3054</v>
      </c>
      <c r="C58" s="2" t="s">
        <v>754</v>
      </c>
      <c r="D58" s="2" t="s">
        <v>755</v>
      </c>
      <c r="E58" s="2" t="s">
        <v>548</v>
      </c>
      <c r="F58" s="2" t="s">
        <v>670</v>
      </c>
      <c r="G58" s="3">
        <v>44944</v>
      </c>
      <c r="H58" s="2">
        <v>1000</v>
      </c>
    </row>
    <row r="59" spans="1:8" x14ac:dyDescent="0.4">
      <c r="A59" s="2">
        <v>58</v>
      </c>
      <c r="B59" s="2" t="s">
        <v>3055</v>
      </c>
      <c r="C59" s="2" t="s">
        <v>764</v>
      </c>
      <c r="D59" s="2" t="s">
        <v>765</v>
      </c>
      <c r="E59" s="2" t="s">
        <v>540</v>
      </c>
      <c r="F59" s="2" t="s">
        <v>766</v>
      </c>
      <c r="G59" s="3">
        <v>44914</v>
      </c>
      <c r="H59" s="2">
        <v>840</v>
      </c>
    </row>
    <row r="60" spans="1:8" x14ac:dyDescent="0.4">
      <c r="A60" s="2">
        <v>59</v>
      </c>
      <c r="B60" s="2" t="s">
        <v>3056</v>
      </c>
      <c r="C60" s="2" t="s">
        <v>813</v>
      </c>
      <c r="D60" s="2" t="s">
        <v>814</v>
      </c>
      <c r="E60" s="2" t="s">
        <v>676</v>
      </c>
      <c r="F60" s="2" t="s">
        <v>483</v>
      </c>
      <c r="G60" s="3">
        <v>44790</v>
      </c>
      <c r="H60" s="2">
        <v>920</v>
      </c>
    </row>
    <row r="61" spans="1:8" x14ac:dyDescent="0.4">
      <c r="A61" s="2">
        <v>60</v>
      </c>
      <c r="B61" s="2" t="s">
        <v>3057</v>
      </c>
      <c r="C61" s="2" t="s">
        <v>840</v>
      </c>
      <c r="D61" s="2" t="s">
        <v>841</v>
      </c>
      <c r="E61" s="2" t="s">
        <v>669</v>
      </c>
      <c r="F61" s="2" t="s">
        <v>620</v>
      </c>
      <c r="G61" s="3">
        <v>44942</v>
      </c>
      <c r="H61" s="2">
        <v>1100</v>
      </c>
    </row>
    <row r="62" spans="1:8" x14ac:dyDescent="0.4">
      <c r="A62" s="2">
        <v>61</v>
      </c>
      <c r="B62" s="2" t="s">
        <v>3058</v>
      </c>
      <c r="C62" s="2" t="s">
        <v>874</v>
      </c>
      <c r="D62" s="2" t="s">
        <v>875</v>
      </c>
      <c r="E62" s="2" t="s">
        <v>521</v>
      </c>
      <c r="F62" s="2" t="s">
        <v>670</v>
      </c>
      <c r="G62" s="3">
        <v>44956</v>
      </c>
      <c r="H62" s="2">
        <v>860</v>
      </c>
    </row>
    <row r="63" spans="1:8" x14ac:dyDescent="0.4">
      <c r="A63" s="2">
        <v>62</v>
      </c>
      <c r="B63" s="2" t="s">
        <v>3059</v>
      </c>
      <c r="C63" s="2" t="s">
        <v>889</v>
      </c>
      <c r="D63" s="2" t="s">
        <v>890</v>
      </c>
      <c r="E63" s="2" t="s">
        <v>540</v>
      </c>
      <c r="F63" s="2" t="s">
        <v>891</v>
      </c>
      <c r="G63" s="3">
        <v>44933</v>
      </c>
      <c r="H63" s="2">
        <v>880</v>
      </c>
    </row>
    <row r="64" spans="1:8" x14ac:dyDescent="0.4">
      <c r="A64" s="2">
        <v>63</v>
      </c>
      <c r="B64" s="2" t="s">
        <v>3060</v>
      </c>
      <c r="C64" s="2" t="s">
        <v>534</v>
      </c>
      <c r="D64" s="2" t="s">
        <v>479</v>
      </c>
      <c r="E64" s="2" t="s">
        <v>536</v>
      </c>
      <c r="F64" s="2" t="s">
        <v>537</v>
      </c>
      <c r="G64" s="3">
        <v>44091</v>
      </c>
      <c r="H64" s="2">
        <v>1020</v>
      </c>
    </row>
    <row r="65" spans="1:8" x14ac:dyDescent="0.4">
      <c r="A65" s="2">
        <v>64</v>
      </c>
      <c r="B65" s="2" t="s">
        <v>3061</v>
      </c>
      <c r="C65" s="2" t="s">
        <v>737</v>
      </c>
      <c r="D65" s="2" t="s">
        <v>738</v>
      </c>
      <c r="E65" s="2" t="s">
        <v>548</v>
      </c>
      <c r="F65" s="2" t="s">
        <v>505</v>
      </c>
      <c r="G65" s="3">
        <v>44944</v>
      </c>
      <c r="H65" s="2">
        <v>900</v>
      </c>
    </row>
    <row r="66" spans="1:8" x14ac:dyDescent="0.4">
      <c r="A66" s="2">
        <v>65</v>
      </c>
      <c r="B66" s="2" t="s">
        <v>3062</v>
      </c>
      <c r="C66" s="2" t="s">
        <v>769</v>
      </c>
      <c r="D66" s="2" t="s">
        <v>770</v>
      </c>
      <c r="E66" s="2" t="s">
        <v>521</v>
      </c>
      <c r="F66" s="2" t="s">
        <v>502</v>
      </c>
      <c r="G66" s="3">
        <v>44611</v>
      </c>
      <c r="H66" s="2">
        <v>860</v>
      </c>
    </row>
    <row r="67" spans="1:8" x14ac:dyDescent="0.4">
      <c r="A67" s="2">
        <v>66</v>
      </c>
      <c r="B67" s="2" t="s">
        <v>3063</v>
      </c>
      <c r="C67" s="2" t="s">
        <v>798</v>
      </c>
      <c r="D67" s="2" t="s">
        <v>799</v>
      </c>
      <c r="E67" s="2" t="s">
        <v>676</v>
      </c>
      <c r="F67" s="2" t="s">
        <v>505</v>
      </c>
      <c r="G67" s="3">
        <v>44943</v>
      </c>
      <c r="H67" s="2">
        <v>840</v>
      </c>
    </row>
    <row r="68" spans="1:8" x14ac:dyDescent="0.4">
      <c r="A68" s="2">
        <v>67</v>
      </c>
      <c r="B68" s="2" t="s">
        <v>3064</v>
      </c>
      <c r="C68" s="2" t="s">
        <v>882</v>
      </c>
      <c r="D68" s="2" t="s">
        <v>883</v>
      </c>
      <c r="E68" s="2" t="s">
        <v>676</v>
      </c>
      <c r="F68" s="2" t="s">
        <v>483</v>
      </c>
      <c r="G68" s="3">
        <v>44852</v>
      </c>
      <c r="H68" s="2">
        <v>920</v>
      </c>
    </row>
    <row r="69" spans="1:8" x14ac:dyDescent="0.4">
      <c r="A69" s="2">
        <v>68</v>
      </c>
      <c r="B69" s="2" t="s">
        <v>3065</v>
      </c>
      <c r="C69" s="2" t="s">
        <v>853</v>
      </c>
      <c r="D69" s="2" t="s">
        <v>854</v>
      </c>
      <c r="E69" s="2" t="s">
        <v>501</v>
      </c>
      <c r="F69" s="2" t="s">
        <v>509</v>
      </c>
      <c r="G69" s="3">
        <v>44903</v>
      </c>
      <c r="H69" s="2">
        <v>800</v>
      </c>
    </row>
    <row r="70" spans="1:8" x14ac:dyDescent="0.4">
      <c r="A70" s="2">
        <v>69</v>
      </c>
      <c r="B70" s="2" t="s">
        <v>3066</v>
      </c>
      <c r="C70" s="2" t="s">
        <v>862</v>
      </c>
      <c r="D70" s="2" t="s">
        <v>863</v>
      </c>
      <c r="E70" s="2" t="s">
        <v>597</v>
      </c>
      <c r="F70" s="2" t="s">
        <v>505</v>
      </c>
      <c r="G70" s="3">
        <v>44904</v>
      </c>
      <c r="H70" s="2">
        <v>920</v>
      </c>
    </row>
    <row r="71" spans="1:8" x14ac:dyDescent="0.4">
      <c r="A71" s="2">
        <v>70</v>
      </c>
      <c r="B71" s="2" t="s">
        <v>3067</v>
      </c>
      <c r="C71" s="2" t="s">
        <v>920</v>
      </c>
      <c r="D71" s="2" t="s">
        <v>921</v>
      </c>
      <c r="E71" s="2" t="s">
        <v>676</v>
      </c>
      <c r="F71" s="2" t="s">
        <v>922</v>
      </c>
      <c r="G71" s="3">
        <v>44908</v>
      </c>
      <c r="H71" s="2">
        <v>960</v>
      </c>
    </row>
    <row r="72" spans="1:8" x14ac:dyDescent="0.4">
      <c r="A72" s="2">
        <v>71</v>
      </c>
      <c r="B72" s="2" t="s">
        <v>3068</v>
      </c>
      <c r="C72" s="2" t="s">
        <v>858</v>
      </c>
      <c r="D72" s="2" t="s">
        <v>757</v>
      </c>
      <c r="E72" s="2" t="s">
        <v>548</v>
      </c>
      <c r="F72" s="2" t="s">
        <v>483</v>
      </c>
      <c r="G72" s="3">
        <v>44909</v>
      </c>
      <c r="H72" s="2">
        <v>860</v>
      </c>
    </row>
    <row r="73" spans="1:8" x14ac:dyDescent="0.4">
      <c r="A73" s="2">
        <v>72</v>
      </c>
      <c r="B73" s="2" t="s">
        <v>3069</v>
      </c>
      <c r="C73" s="2" t="s">
        <v>877</v>
      </c>
      <c r="D73" s="2" t="s">
        <v>878</v>
      </c>
      <c r="E73" s="2" t="s">
        <v>521</v>
      </c>
      <c r="F73" s="2" t="s">
        <v>558</v>
      </c>
      <c r="G73" s="3">
        <v>44916</v>
      </c>
      <c r="H73" s="2">
        <v>880</v>
      </c>
    </row>
    <row r="74" spans="1:8" x14ac:dyDescent="0.4">
      <c r="A74" s="2">
        <v>73</v>
      </c>
      <c r="B74" s="2" t="s">
        <v>3070</v>
      </c>
      <c r="C74" s="2" t="s">
        <v>830</v>
      </c>
      <c r="D74" s="2" t="s">
        <v>831</v>
      </c>
      <c r="E74" s="2" t="s">
        <v>639</v>
      </c>
      <c r="F74" s="2" t="s">
        <v>509</v>
      </c>
      <c r="G74" s="3">
        <v>44700</v>
      </c>
      <c r="H74" s="2">
        <v>980</v>
      </c>
    </row>
    <row r="75" spans="1:8" x14ac:dyDescent="0.4">
      <c r="A75" s="2">
        <v>74</v>
      </c>
      <c r="B75" s="2" t="s">
        <v>3071</v>
      </c>
      <c r="C75" s="2" t="s">
        <v>869</v>
      </c>
      <c r="D75" s="2" t="s">
        <v>870</v>
      </c>
      <c r="E75" s="2" t="s">
        <v>521</v>
      </c>
      <c r="F75" s="2" t="s">
        <v>579</v>
      </c>
      <c r="G75" s="3">
        <v>44826</v>
      </c>
      <c r="H75" s="2">
        <v>900</v>
      </c>
    </row>
    <row r="76" spans="1:8" x14ac:dyDescent="0.4">
      <c r="A76" s="2">
        <v>75</v>
      </c>
      <c r="B76" s="2" t="s">
        <v>3072</v>
      </c>
      <c r="C76" s="2" t="s">
        <v>892</v>
      </c>
      <c r="D76" s="2" t="s">
        <v>893</v>
      </c>
      <c r="E76" s="2" t="s">
        <v>548</v>
      </c>
      <c r="F76" s="2" t="s">
        <v>670</v>
      </c>
      <c r="G76" s="3">
        <v>44909</v>
      </c>
      <c r="H76" s="2">
        <v>1200</v>
      </c>
    </row>
    <row r="77" spans="1:8" x14ac:dyDescent="0.4">
      <c r="A77" s="2">
        <v>76</v>
      </c>
      <c r="B77" s="2" t="s">
        <v>3073</v>
      </c>
      <c r="C77" s="2" t="s">
        <v>935</v>
      </c>
      <c r="D77" s="2" t="s">
        <v>902</v>
      </c>
      <c r="E77" s="2" t="s">
        <v>540</v>
      </c>
      <c r="F77" s="2" t="s">
        <v>537</v>
      </c>
      <c r="G77" s="3">
        <v>44883</v>
      </c>
      <c r="H77" s="2">
        <v>840</v>
      </c>
    </row>
    <row r="78" spans="1:8" x14ac:dyDescent="0.4">
      <c r="A78" s="2">
        <v>77</v>
      </c>
      <c r="B78" s="2" t="s">
        <v>3074</v>
      </c>
      <c r="C78" s="2" t="s">
        <v>954</v>
      </c>
      <c r="D78" s="2" t="s">
        <v>955</v>
      </c>
      <c r="E78" s="2" t="s">
        <v>956</v>
      </c>
      <c r="F78" s="2" t="s">
        <v>957</v>
      </c>
      <c r="G78" s="3">
        <v>44911</v>
      </c>
      <c r="H78" s="2">
        <v>1000</v>
      </c>
    </row>
    <row r="79" spans="1:8" x14ac:dyDescent="0.4">
      <c r="A79" s="2">
        <v>78</v>
      </c>
      <c r="B79" s="2" t="s">
        <v>3075</v>
      </c>
      <c r="C79" s="2" t="s">
        <v>907</v>
      </c>
      <c r="D79" s="2" t="s">
        <v>908</v>
      </c>
      <c r="E79" s="2" t="s">
        <v>536</v>
      </c>
      <c r="F79" s="2" t="s">
        <v>505</v>
      </c>
      <c r="G79" s="3">
        <v>44819</v>
      </c>
      <c r="H79" s="2">
        <v>960</v>
      </c>
    </row>
    <row r="80" spans="1:8" x14ac:dyDescent="0.4">
      <c r="A80" s="2">
        <v>79</v>
      </c>
      <c r="B80" s="2" t="s">
        <v>3076</v>
      </c>
      <c r="C80" s="2" t="s">
        <v>915</v>
      </c>
      <c r="D80" s="2" t="s">
        <v>916</v>
      </c>
      <c r="E80" s="2" t="s">
        <v>501</v>
      </c>
      <c r="F80" s="2" t="s">
        <v>509</v>
      </c>
      <c r="G80" s="3">
        <v>43350</v>
      </c>
      <c r="H80" s="2">
        <v>920</v>
      </c>
    </row>
    <row r="81" spans="1:8" x14ac:dyDescent="0.4">
      <c r="A81" s="2">
        <v>80</v>
      </c>
      <c r="B81" s="2" t="s">
        <v>3077</v>
      </c>
      <c r="C81" s="2" t="s">
        <v>966</v>
      </c>
      <c r="D81" s="2" t="s">
        <v>967</v>
      </c>
      <c r="E81" s="2" t="s">
        <v>956</v>
      </c>
      <c r="F81" s="2" t="s">
        <v>957</v>
      </c>
      <c r="G81" s="3">
        <v>44942</v>
      </c>
      <c r="H81" s="2">
        <v>900</v>
      </c>
    </row>
    <row r="82" spans="1:8" x14ac:dyDescent="0.4">
      <c r="A82" s="2">
        <v>81</v>
      </c>
      <c r="B82" s="2" t="s">
        <v>3078</v>
      </c>
      <c r="C82" s="2" t="s">
        <v>978</v>
      </c>
      <c r="D82" s="2" t="s">
        <v>979</v>
      </c>
      <c r="E82" s="2" t="s">
        <v>498</v>
      </c>
      <c r="F82" s="2" t="s">
        <v>505</v>
      </c>
      <c r="G82" s="3">
        <v>44876</v>
      </c>
      <c r="H82" s="2">
        <v>910</v>
      </c>
    </row>
    <row r="83" spans="1:8" x14ac:dyDescent="0.4">
      <c r="A83" s="2">
        <v>82</v>
      </c>
      <c r="B83" s="2" t="s">
        <v>3079</v>
      </c>
      <c r="C83" s="2" t="s">
        <v>865</v>
      </c>
      <c r="D83" s="2" t="s">
        <v>866</v>
      </c>
      <c r="E83" s="2" t="s">
        <v>521</v>
      </c>
      <c r="F83" s="2" t="s">
        <v>868</v>
      </c>
      <c r="G83" s="3">
        <v>44886</v>
      </c>
      <c r="H83" s="2">
        <v>880</v>
      </c>
    </row>
    <row r="84" spans="1:8" x14ac:dyDescent="0.4">
      <c r="A84" s="2">
        <v>83</v>
      </c>
      <c r="B84" s="2" t="s">
        <v>3080</v>
      </c>
      <c r="C84" s="2" t="s">
        <v>951</v>
      </c>
      <c r="D84" s="2" t="s">
        <v>952</v>
      </c>
      <c r="E84" s="2" t="s">
        <v>839</v>
      </c>
      <c r="F84" s="2" t="s">
        <v>502</v>
      </c>
      <c r="G84" s="3">
        <v>44945</v>
      </c>
      <c r="H84" s="2">
        <v>1200</v>
      </c>
    </row>
    <row r="85" spans="1:8" x14ac:dyDescent="0.4">
      <c r="A85" s="2">
        <v>84</v>
      </c>
      <c r="B85" s="2" t="s">
        <v>3081</v>
      </c>
      <c r="C85" s="2" t="s">
        <v>980</v>
      </c>
      <c r="D85" s="2" t="s">
        <v>981</v>
      </c>
      <c r="E85" s="2" t="s">
        <v>982</v>
      </c>
      <c r="F85" s="2" t="s">
        <v>505</v>
      </c>
      <c r="G85" s="3">
        <v>44833</v>
      </c>
      <c r="H85" s="2">
        <v>1000</v>
      </c>
    </row>
    <row r="86" spans="1:8" x14ac:dyDescent="0.4">
      <c r="A86" s="2">
        <v>85</v>
      </c>
      <c r="B86" s="2" t="s">
        <v>3082</v>
      </c>
      <c r="C86" s="2" t="s">
        <v>1033</v>
      </c>
      <c r="D86" s="2" t="s">
        <v>1034</v>
      </c>
      <c r="E86" s="2" t="s">
        <v>540</v>
      </c>
      <c r="F86" s="2" t="s">
        <v>505</v>
      </c>
      <c r="G86" s="3">
        <v>44903</v>
      </c>
      <c r="H86" s="2">
        <v>900</v>
      </c>
    </row>
    <row r="87" spans="1:8" x14ac:dyDescent="0.4">
      <c r="A87" s="2">
        <v>86</v>
      </c>
      <c r="B87" s="2" t="s">
        <v>3083</v>
      </c>
      <c r="C87" s="2" t="s">
        <v>1048</v>
      </c>
      <c r="D87" s="2" t="s">
        <v>1049</v>
      </c>
      <c r="E87" s="2" t="s">
        <v>540</v>
      </c>
      <c r="F87" s="2" t="s">
        <v>502</v>
      </c>
      <c r="G87" s="3">
        <v>44933</v>
      </c>
      <c r="H87" s="2">
        <v>860</v>
      </c>
    </row>
    <row r="88" spans="1:8" x14ac:dyDescent="0.4">
      <c r="A88" s="2">
        <v>87</v>
      </c>
      <c r="B88" s="2" t="s">
        <v>3084</v>
      </c>
      <c r="C88" s="2" t="s">
        <v>1056</v>
      </c>
      <c r="D88" s="2" t="s">
        <v>1057</v>
      </c>
      <c r="E88" s="2" t="s">
        <v>498</v>
      </c>
      <c r="F88" s="2" t="s">
        <v>509</v>
      </c>
      <c r="G88" s="3">
        <v>44908</v>
      </c>
      <c r="H88" s="2">
        <v>850</v>
      </c>
    </row>
    <row r="89" spans="1:8" x14ac:dyDescent="0.4">
      <c r="A89" s="2">
        <v>88</v>
      </c>
      <c r="B89" s="2" t="s">
        <v>3085</v>
      </c>
      <c r="C89" s="2" t="s">
        <v>999</v>
      </c>
      <c r="D89" s="2" t="s">
        <v>705</v>
      </c>
      <c r="E89" s="2" t="s">
        <v>516</v>
      </c>
      <c r="F89" s="2" t="s">
        <v>670</v>
      </c>
      <c r="G89" s="3">
        <v>44757</v>
      </c>
      <c r="H89" s="2">
        <v>1000</v>
      </c>
    </row>
    <row r="90" spans="1:8" x14ac:dyDescent="0.4">
      <c r="A90" s="2">
        <v>89</v>
      </c>
      <c r="B90" s="2" t="s">
        <v>3086</v>
      </c>
      <c r="C90" s="2" t="s">
        <v>1000</v>
      </c>
      <c r="D90" s="2" t="s">
        <v>1001</v>
      </c>
      <c r="E90" s="2" t="s">
        <v>639</v>
      </c>
      <c r="F90" s="2" t="s">
        <v>509</v>
      </c>
      <c r="G90" s="3">
        <v>44910</v>
      </c>
      <c r="H90" s="2">
        <v>900</v>
      </c>
    </row>
    <row r="91" spans="1:8" x14ac:dyDescent="0.4">
      <c r="A91" s="2">
        <v>90</v>
      </c>
      <c r="B91" s="2" t="s">
        <v>3087</v>
      </c>
      <c r="C91" s="2" t="s">
        <v>1035</v>
      </c>
      <c r="D91" s="2" t="s">
        <v>1036</v>
      </c>
      <c r="E91" s="2" t="s">
        <v>669</v>
      </c>
      <c r="F91" s="2" t="s">
        <v>957</v>
      </c>
      <c r="G91" s="3">
        <v>44914</v>
      </c>
      <c r="H91" s="2">
        <v>920</v>
      </c>
    </row>
    <row r="92" spans="1:8" x14ac:dyDescent="0.4">
      <c r="A92" s="2">
        <v>91</v>
      </c>
      <c r="B92" s="2" t="s">
        <v>3088</v>
      </c>
      <c r="C92" s="2" t="s">
        <v>1037</v>
      </c>
      <c r="D92" s="2" t="s">
        <v>1038</v>
      </c>
      <c r="E92" s="2" t="s">
        <v>501</v>
      </c>
      <c r="F92" s="2" t="s">
        <v>505</v>
      </c>
      <c r="G92" s="3">
        <v>44476</v>
      </c>
      <c r="H92" s="2">
        <v>920</v>
      </c>
    </row>
    <row r="93" spans="1:8" x14ac:dyDescent="0.4">
      <c r="A93" s="2">
        <v>92</v>
      </c>
      <c r="B93" s="2" t="s">
        <v>3089</v>
      </c>
      <c r="C93" s="2" t="s">
        <v>1041</v>
      </c>
      <c r="D93" s="2" t="s">
        <v>1042</v>
      </c>
      <c r="E93" s="2" t="s">
        <v>501</v>
      </c>
      <c r="F93" s="2" t="s">
        <v>483</v>
      </c>
      <c r="G93" s="3">
        <v>44903</v>
      </c>
      <c r="H93" s="2">
        <v>980</v>
      </c>
    </row>
    <row r="94" spans="1:8" x14ac:dyDescent="0.4">
      <c r="A94" s="2">
        <v>93</v>
      </c>
      <c r="B94" s="2" t="s">
        <v>3090</v>
      </c>
      <c r="C94" s="2" t="s">
        <v>1050</v>
      </c>
      <c r="D94" s="2" t="s">
        <v>1051</v>
      </c>
      <c r="E94" s="2" t="s">
        <v>536</v>
      </c>
      <c r="F94" s="2" t="s">
        <v>1053</v>
      </c>
      <c r="G94" s="3">
        <v>44911</v>
      </c>
      <c r="H94" s="2">
        <v>1000</v>
      </c>
    </row>
    <row r="95" spans="1:8" x14ac:dyDescent="0.4">
      <c r="A95" s="2">
        <v>94</v>
      </c>
      <c r="B95" s="2" t="s">
        <v>3091</v>
      </c>
      <c r="C95" s="2" t="s">
        <v>1118</v>
      </c>
      <c r="D95" s="2" t="s">
        <v>1119</v>
      </c>
      <c r="E95" s="2" t="s">
        <v>548</v>
      </c>
      <c r="F95" s="2" t="s">
        <v>509</v>
      </c>
      <c r="G95" s="3">
        <v>44881</v>
      </c>
      <c r="H95" s="2">
        <v>840</v>
      </c>
    </row>
    <row r="96" spans="1:8" x14ac:dyDescent="0.4">
      <c r="A96" s="2">
        <v>95</v>
      </c>
      <c r="B96" s="2" t="s">
        <v>3092</v>
      </c>
      <c r="C96" s="2" t="s">
        <v>715</v>
      </c>
      <c r="D96" s="2" t="s">
        <v>716</v>
      </c>
      <c r="E96" s="2" t="s">
        <v>717</v>
      </c>
      <c r="F96" s="2" t="s">
        <v>505</v>
      </c>
      <c r="G96" s="3">
        <v>44882</v>
      </c>
      <c r="H96" s="2">
        <v>990</v>
      </c>
    </row>
    <row r="97" spans="1:8" x14ac:dyDescent="0.4">
      <c r="A97" s="2">
        <v>96</v>
      </c>
      <c r="B97" s="2" t="s">
        <v>3093</v>
      </c>
      <c r="C97" s="2" t="s">
        <v>1046</v>
      </c>
      <c r="D97" s="2" t="s">
        <v>1047</v>
      </c>
      <c r="E97" s="2" t="s">
        <v>480</v>
      </c>
      <c r="F97" s="2" t="s">
        <v>593</v>
      </c>
      <c r="G97" s="3">
        <v>44845</v>
      </c>
      <c r="H97" s="2">
        <v>950</v>
      </c>
    </row>
    <row r="98" spans="1:8" x14ac:dyDescent="0.4">
      <c r="A98" s="2">
        <v>97</v>
      </c>
      <c r="B98" s="2" t="s">
        <v>3094</v>
      </c>
      <c r="C98" s="2" t="s">
        <v>1202</v>
      </c>
      <c r="D98" s="2" t="s">
        <v>1203</v>
      </c>
      <c r="E98" s="2" t="s">
        <v>540</v>
      </c>
      <c r="F98" s="2" t="s">
        <v>509</v>
      </c>
      <c r="G98" s="3">
        <v>44870</v>
      </c>
      <c r="H98" s="2">
        <v>900</v>
      </c>
    </row>
    <row r="99" spans="1:8" x14ac:dyDescent="0.4">
      <c r="A99" s="2">
        <v>98</v>
      </c>
      <c r="B99" s="2" t="s">
        <v>3095</v>
      </c>
      <c r="C99" s="2" t="s">
        <v>940</v>
      </c>
      <c r="D99" s="2" t="s">
        <v>941</v>
      </c>
      <c r="E99" s="2" t="s">
        <v>717</v>
      </c>
      <c r="F99" s="2" t="s">
        <v>600</v>
      </c>
      <c r="G99" s="3">
        <v>44861</v>
      </c>
      <c r="H99" s="2">
        <v>1000</v>
      </c>
    </row>
    <row r="100" spans="1:8" x14ac:dyDescent="0.4">
      <c r="A100" s="2">
        <v>99</v>
      </c>
      <c r="B100" s="2" t="s">
        <v>3096</v>
      </c>
      <c r="C100" s="2" t="s">
        <v>1139</v>
      </c>
      <c r="D100" s="2" t="s">
        <v>1140</v>
      </c>
      <c r="E100" s="2" t="s">
        <v>498</v>
      </c>
      <c r="F100" s="2" t="s">
        <v>569</v>
      </c>
      <c r="G100" s="3">
        <v>44876</v>
      </c>
      <c r="H100" s="2">
        <v>850</v>
      </c>
    </row>
    <row r="101" spans="1:8" x14ac:dyDescent="0.4">
      <c r="A101" s="2">
        <v>100</v>
      </c>
      <c r="B101" s="2" t="s">
        <v>3097</v>
      </c>
      <c r="C101" s="2" t="s">
        <v>1002</v>
      </c>
      <c r="D101" s="2" t="s">
        <v>1003</v>
      </c>
      <c r="E101" s="2" t="s">
        <v>676</v>
      </c>
      <c r="F101" s="2" t="s">
        <v>505</v>
      </c>
      <c r="G101" s="3">
        <v>44943</v>
      </c>
      <c r="H101" s="2">
        <v>820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4.9989318521683403E-2"/>
  </sheetPr>
  <dimension ref="A1:H101"/>
  <sheetViews>
    <sheetView workbookViewId="0">
      <selection activeCell="G15" sqref="G15"/>
    </sheetView>
  </sheetViews>
  <sheetFormatPr defaultRowHeight="18.75" x14ac:dyDescent="0.4"/>
  <cols>
    <col min="1" max="1" width="4.625" customWidth="1"/>
    <col min="2" max="2" width="15.125" customWidth="1"/>
    <col min="3" max="3" width="31.125" customWidth="1"/>
    <col min="4" max="4" width="11.125" customWidth="1"/>
    <col min="5" max="5" width="9.5" customWidth="1"/>
    <col min="7" max="7" width="12.625" customWidth="1"/>
  </cols>
  <sheetData>
    <row r="1" spans="1:8" x14ac:dyDescent="0.4">
      <c r="A1" s="4" t="s">
        <v>3281</v>
      </c>
      <c r="B1" s="4" t="s">
        <v>7</v>
      </c>
      <c r="C1" s="4" t="s">
        <v>9</v>
      </c>
      <c r="D1" s="4" t="s">
        <v>10</v>
      </c>
      <c r="E1" s="4" t="s">
        <v>13</v>
      </c>
      <c r="F1" s="4" t="s">
        <v>17</v>
      </c>
      <c r="G1" s="4" t="s">
        <v>18</v>
      </c>
      <c r="H1" s="4" t="s">
        <v>19</v>
      </c>
    </row>
    <row r="2" spans="1:8" x14ac:dyDescent="0.4">
      <c r="A2" s="2">
        <v>1</v>
      </c>
      <c r="B2" s="2" t="s">
        <v>3182</v>
      </c>
      <c r="C2" s="2" t="s">
        <v>1857</v>
      </c>
      <c r="D2" s="2" t="s">
        <v>1858</v>
      </c>
      <c r="E2" s="2" t="s">
        <v>536</v>
      </c>
      <c r="F2" s="2" t="s">
        <v>1856</v>
      </c>
      <c r="G2" s="3">
        <v>44943</v>
      </c>
      <c r="H2" s="2">
        <v>650</v>
      </c>
    </row>
    <row r="3" spans="1:8" x14ac:dyDescent="0.4">
      <c r="A3" s="2">
        <v>2</v>
      </c>
      <c r="B3" s="2" t="s">
        <v>3181</v>
      </c>
      <c r="C3" s="2" t="s">
        <v>1852</v>
      </c>
      <c r="D3" s="2" t="s">
        <v>1853</v>
      </c>
      <c r="E3" s="2" t="s">
        <v>536</v>
      </c>
      <c r="F3" s="2" t="s">
        <v>1856</v>
      </c>
      <c r="G3" s="3">
        <v>44930</v>
      </c>
      <c r="H3" s="2">
        <v>480</v>
      </c>
    </row>
    <row r="4" spans="1:8" x14ac:dyDescent="0.4">
      <c r="A4" s="2">
        <v>3</v>
      </c>
      <c r="B4" s="2" t="s">
        <v>3183</v>
      </c>
      <c r="C4" s="2" t="s">
        <v>1860</v>
      </c>
      <c r="D4" s="2" t="s">
        <v>1861</v>
      </c>
      <c r="E4" s="2" t="s">
        <v>548</v>
      </c>
      <c r="F4" s="2" t="s">
        <v>1856</v>
      </c>
      <c r="G4" s="3">
        <v>44940</v>
      </c>
      <c r="H4" s="2">
        <v>480</v>
      </c>
    </row>
    <row r="5" spans="1:8" x14ac:dyDescent="0.4">
      <c r="A5" s="2">
        <v>4</v>
      </c>
      <c r="B5" s="2" t="s">
        <v>3184</v>
      </c>
      <c r="C5" s="2" t="s">
        <v>1863</v>
      </c>
      <c r="D5" s="2" t="s">
        <v>1864</v>
      </c>
      <c r="E5" s="2" t="s">
        <v>1069</v>
      </c>
      <c r="F5" s="2" t="s">
        <v>1856</v>
      </c>
      <c r="G5" s="3">
        <v>44932</v>
      </c>
      <c r="H5" s="2">
        <v>500</v>
      </c>
    </row>
    <row r="6" spans="1:8" x14ac:dyDescent="0.4">
      <c r="A6" s="2">
        <v>5</v>
      </c>
      <c r="B6" s="2" t="s">
        <v>3185</v>
      </c>
      <c r="C6" s="2" t="s">
        <v>1866</v>
      </c>
      <c r="D6" s="2" t="s">
        <v>1867</v>
      </c>
      <c r="E6" s="2" t="s">
        <v>536</v>
      </c>
      <c r="F6" s="2" t="s">
        <v>1856</v>
      </c>
      <c r="G6" s="3">
        <v>44945</v>
      </c>
      <c r="H6" s="2">
        <v>650</v>
      </c>
    </row>
    <row r="7" spans="1:8" x14ac:dyDescent="0.4">
      <c r="A7" s="2">
        <v>6</v>
      </c>
      <c r="B7" s="2" t="s">
        <v>3186</v>
      </c>
      <c r="C7" s="2" t="s">
        <v>1868</v>
      </c>
      <c r="D7" s="2" t="s">
        <v>1869</v>
      </c>
      <c r="E7" s="2" t="s">
        <v>536</v>
      </c>
      <c r="F7" s="2" t="s">
        <v>1856</v>
      </c>
      <c r="G7" s="3">
        <v>44896</v>
      </c>
      <c r="H7" s="2">
        <v>500</v>
      </c>
    </row>
    <row r="8" spans="1:8" x14ac:dyDescent="0.4">
      <c r="A8" s="2">
        <v>7</v>
      </c>
      <c r="B8" s="2" t="s">
        <v>3188</v>
      </c>
      <c r="C8" s="2" t="s">
        <v>1871</v>
      </c>
      <c r="D8" s="2" t="s">
        <v>1872</v>
      </c>
      <c r="E8" s="2" t="s">
        <v>548</v>
      </c>
      <c r="F8" s="2" t="s">
        <v>1856</v>
      </c>
      <c r="G8" s="3">
        <v>44917</v>
      </c>
      <c r="H8" s="2">
        <v>660</v>
      </c>
    </row>
    <row r="9" spans="1:8" x14ac:dyDescent="0.4">
      <c r="A9" s="2">
        <v>8</v>
      </c>
      <c r="B9" s="2" t="s">
        <v>3187</v>
      </c>
      <c r="C9" s="2" t="s">
        <v>1870</v>
      </c>
      <c r="D9" s="2" t="s">
        <v>1867</v>
      </c>
      <c r="E9" s="2" t="s">
        <v>536</v>
      </c>
      <c r="F9" s="2" t="s">
        <v>1856</v>
      </c>
      <c r="G9" s="3">
        <v>44914</v>
      </c>
      <c r="H9" s="2">
        <v>680</v>
      </c>
    </row>
    <row r="10" spans="1:8" x14ac:dyDescent="0.4">
      <c r="A10" s="2">
        <v>9</v>
      </c>
      <c r="B10" s="2" t="s">
        <v>3189</v>
      </c>
      <c r="C10" s="2" t="s">
        <v>1879</v>
      </c>
      <c r="D10" s="2" t="s">
        <v>1880</v>
      </c>
      <c r="E10" s="2" t="s">
        <v>1069</v>
      </c>
      <c r="F10" s="2" t="s">
        <v>1856</v>
      </c>
      <c r="G10" s="3">
        <v>44944</v>
      </c>
      <c r="H10" s="2">
        <v>500</v>
      </c>
    </row>
    <row r="11" spans="1:8" x14ac:dyDescent="0.4">
      <c r="A11" s="2">
        <v>10</v>
      </c>
      <c r="B11" s="2" t="s">
        <v>3190</v>
      </c>
      <c r="C11" s="2" t="s">
        <v>1886</v>
      </c>
      <c r="D11" s="2" t="s">
        <v>1887</v>
      </c>
      <c r="E11" s="2" t="s">
        <v>536</v>
      </c>
      <c r="F11" s="2" t="s">
        <v>1856</v>
      </c>
      <c r="G11" s="3">
        <v>44930</v>
      </c>
      <c r="H11" s="2">
        <v>480</v>
      </c>
    </row>
    <row r="12" spans="1:8" x14ac:dyDescent="0.4">
      <c r="A12" s="2">
        <v>11</v>
      </c>
      <c r="B12" s="2" t="s">
        <v>3192</v>
      </c>
      <c r="C12" s="2" t="s">
        <v>1895</v>
      </c>
      <c r="D12" s="2" t="s">
        <v>1896</v>
      </c>
      <c r="E12" s="2" t="s">
        <v>1897</v>
      </c>
      <c r="F12" s="2" t="s">
        <v>1856</v>
      </c>
      <c r="G12" s="3">
        <v>44930</v>
      </c>
      <c r="H12" s="2">
        <v>450</v>
      </c>
    </row>
    <row r="13" spans="1:8" x14ac:dyDescent="0.4">
      <c r="A13" s="2">
        <v>12</v>
      </c>
      <c r="B13" s="2" t="s">
        <v>3194</v>
      </c>
      <c r="C13" s="2" t="s">
        <v>1901</v>
      </c>
      <c r="D13" s="2" t="s">
        <v>1902</v>
      </c>
      <c r="E13" s="2" t="s">
        <v>548</v>
      </c>
      <c r="F13" s="2" t="s">
        <v>1856</v>
      </c>
      <c r="G13" s="3">
        <v>44911</v>
      </c>
      <c r="H13" s="2">
        <v>480</v>
      </c>
    </row>
    <row r="14" spans="1:8" x14ac:dyDescent="0.4">
      <c r="A14" s="2">
        <v>13</v>
      </c>
      <c r="B14" s="2" t="s">
        <v>3196</v>
      </c>
      <c r="C14" s="2" t="s">
        <v>1904</v>
      </c>
      <c r="D14" s="2" t="s">
        <v>1861</v>
      </c>
      <c r="E14" s="2" t="s">
        <v>548</v>
      </c>
      <c r="F14" s="2" t="s">
        <v>1856</v>
      </c>
      <c r="G14" s="3">
        <v>44943</v>
      </c>
      <c r="H14" s="2">
        <v>480</v>
      </c>
    </row>
    <row r="15" spans="1:8" x14ac:dyDescent="0.4">
      <c r="A15" s="2">
        <v>14</v>
      </c>
      <c r="B15" s="2" t="s">
        <v>3198</v>
      </c>
      <c r="C15" s="2" t="s">
        <v>1908</v>
      </c>
      <c r="D15" s="2" t="s">
        <v>1909</v>
      </c>
      <c r="E15" s="2" t="s">
        <v>536</v>
      </c>
      <c r="F15" s="2" t="s">
        <v>1856</v>
      </c>
      <c r="G15" s="3">
        <v>44908</v>
      </c>
      <c r="H15" s="2">
        <v>1800</v>
      </c>
    </row>
    <row r="16" spans="1:8" x14ac:dyDescent="0.4">
      <c r="A16" s="2">
        <v>15</v>
      </c>
      <c r="B16" s="2" t="s">
        <v>3197</v>
      </c>
      <c r="C16" s="2" t="s">
        <v>1905</v>
      </c>
      <c r="D16" s="2" t="s">
        <v>1906</v>
      </c>
      <c r="E16" s="2" t="s">
        <v>597</v>
      </c>
      <c r="F16" s="2" t="s">
        <v>1856</v>
      </c>
      <c r="G16" s="3">
        <v>44922</v>
      </c>
      <c r="H16" s="2">
        <v>640</v>
      </c>
    </row>
    <row r="17" spans="1:8" x14ac:dyDescent="0.4">
      <c r="A17" s="2">
        <v>16</v>
      </c>
      <c r="B17" s="2" t="s">
        <v>3195</v>
      </c>
      <c r="C17" s="2" t="s">
        <v>1903</v>
      </c>
      <c r="D17" s="2" t="s">
        <v>1853</v>
      </c>
      <c r="E17" s="2" t="s">
        <v>536</v>
      </c>
      <c r="F17" s="2" t="s">
        <v>1856</v>
      </c>
      <c r="G17" s="3">
        <v>44838</v>
      </c>
      <c r="H17" s="2">
        <v>440</v>
      </c>
    </row>
    <row r="18" spans="1:8" x14ac:dyDescent="0.4">
      <c r="A18" s="2">
        <v>17</v>
      </c>
      <c r="B18" s="2" t="s">
        <v>3191</v>
      </c>
      <c r="C18" s="2" t="s">
        <v>1889</v>
      </c>
      <c r="D18" s="2" t="s">
        <v>1890</v>
      </c>
      <c r="E18" s="2" t="s">
        <v>536</v>
      </c>
      <c r="F18" s="2" t="s">
        <v>1856</v>
      </c>
      <c r="G18" s="3">
        <v>44945</v>
      </c>
      <c r="H18" s="2">
        <v>750</v>
      </c>
    </row>
    <row r="19" spans="1:8" x14ac:dyDescent="0.4">
      <c r="A19" s="2">
        <v>18</v>
      </c>
      <c r="B19" s="2" t="s">
        <v>3200</v>
      </c>
      <c r="C19" s="2" t="s">
        <v>1933</v>
      </c>
      <c r="D19" s="2" t="s">
        <v>1934</v>
      </c>
      <c r="E19" s="2" t="s">
        <v>536</v>
      </c>
      <c r="F19" s="2" t="s">
        <v>1856</v>
      </c>
      <c r="G19" s="3">
        <v>44930</v>
      </c>
      <c r="H19" s="2">
        <v>520</v>
      </c>
    </row>
    <row r="20" spans="1:8" x14ac:dyDescent="0.4">
      <c r="A20" s="2">
        <v>19</v>
      </c>
      <c r="B20" s="2" t="s">
        <v>3203</v>
      </c>
      <c r="C20" s="2" t="s">
        <v>1945</v>
      </c>
      <c r="D20" s="2" t="s">
        <v>1946</v>
      </c>
      <c r="E20" s="2" t="s">
        <v>548</v>
      </c>
      <c r="F20" s="2" t="s">
        <v>1856</v>
      </c>
      <c r="G20" s="3">
        <v>44949</v>
      </c>
      <c r="H20" s="2">
        <v>680</v>
      </c>
    </row>
    <row r="21" spans="1:8" x14ac:dyDescent="0.4">
      <c r="A21" s="2">
        <v>20</v>
      </c>
      <c r="B21" s="2" t="s">
        <v>3193</v>
      </c>
      <c r="C21" s="2" t="s">
        <v>1899</v>
      </c>
      <c r="D21" s="2" t="s">
        <v>1900</v>
      </c>
      <c r="E21" s="2" t="s">
        <v>536</v>
      </c>
      <c r="F21" s="2" t="s">
        <v>1856</v>
      </c>
      <c r="G21" s="3">
        <v>44930</v>
      </c>
      <c r="H21" s="2">
        <v>480</v>
      </c>
    </row>
    <row r="22" spans="1:8" x14ac:dyDescent="0.4">
      <c r="A22" s="2">
        <v>21</v>
      </c>
      <c r="B22" s="2" t="s">
        <v>3207</v>
      </c>
      <c r="C22" s="2" t="s">
        <v>1956</v>
      </c>
      <c r="D22" s="2" t="s">
        <v>1853</v>
      </c>
      <c r="E22" s="2" t="s">
        <v>536</v>
      </c>
      <c r="F22" s="2" t="s">
        <v>1856</v>
      </c>
      <c r="G22" s="3">
        <v>44259</v>
      </c>
      <c r="H22" s="2">
        <v>440</v>
      </c>
    </row>
    <row r="23" spans="1:8" x14ac:dyDescent="0.4">
      <c r="A23" s="2">
        <v>22</v>
      </c>
      <c r="B23" s="2" t="s">
        <v>3211</v>
      </c>
      <c r="C23" s="2" t="s">
        <v>1969</v>
      </c>
      <c r="D23" s="2" t="s">
        <v>1970</v>
      </c>
      <c r="E23" s="2" t="s">
        <v>536</v>
      </c>
      <c r="F23" s="2" t="s">
        <v>1856</v>
      </c>
      <c r="G23" s="3">
        <v>44930</v>
      </c>
      <c r="H23" s="2">
        <v>520</v>
      </c>
    </row>
    <row r="24" spans="1:8" x14ac:dyDescent="0.4">
      <c r="A24" s="2">
        <v>23</v>
      </c>
      <c r="B24" s="2" t="s">
        <v>3201</v>
      </c>
      <c r="C24" s="2" t="s">
        <v>1939</v>
      </c>
      <c r="D24" s="2" t="s">
        <v>1940</v>
      </c>
      <c r="E24" s="2" t="s">
        <v>1897</v>
      </c>
      <c r="F24" s="2" t="s">
        <v>1856</v>
      </c>
      <c r="G24" s="3">
        <v>44946</v>
      </c>
      <c r="H24" s="2">
        <v>480</v>
      </c>
    </row>
    <row r="25" spans="1:8" x14ac:dyDescent="0.4">
      <c r="A25" s="2">
        <v>24</v>
      </c>
      <c r="B25" s="2" t="s">
        <v>3204</v>
      </c>
      <c r="C25" s="2" t="s">
        <v>1948</v>
      </c>
      <c r="D25" s="2" t="s">
        <v>1853</v>
      </c>
      <c r="E25" s="2" t="s">
        <v>536</v>
      </c>
      <c r="F25" s="2" t="s">
        <v>1856</v>
      </c>
      <c r="G25" s="3">
        <v>44200</v>
      </c>
      <c r="H25" s="2">
        <v>440</v>
      </c>
    </row>
    <row r="26" spans="1:8" x14ac:dyDescent="0.4">
      <c r="A26" s="2">
        <v>25</v>
      </c>
      <c r="B26" s="2" t="s">
        <v>3199</v>
      </c>
      <c r="C26" s="2" t="s">
        <v>1931</v>
      </c>
      <c r="D26" s="2" t="s">
        <v>1932</v>
      </c>
      <c r="E26" s="2" t="s">
        <v>548</v>
      </c>
      <c r="F26" s="2" t="s">
        <v>1856</v>
      </c>
      <c r="G26" s="3">
        <v>44943</v>
      </c>
      <c r="H26" s="2">
        <v>480</v>
      </c>
    </row>
    <row r="27" spans="1:8" x14ac:dyDescent="0.4">
      <c r="A27" s="2">
        <v>26</v>
      </c>
      <c r="B27" s="2" t="s">
        <v>3202</v>
      </c>
      <c r="C27" s="2" t="s">
        <v>1943</v>
      </c>
      <c r="D27" s="2" t="s">
        <v>1944</v>
      </c>
      <c r="E27" s="2" t="s">
        <v>536</v>
      </c>
      <c r="F27" s="2" t="s">
        <v>1856</v>
      </c>
      <c r="G27" s="3">
        <v>44914</v>
      </c>
      <c r="H27" s="2">
        <v>650</v>
      </c>
    </row>
    <row r="28" spans="1:8" x14ac:dyDescent="0.4">
      <c r="A28" s="2">
        <v>27</v>
      </c>
      <c r="B28" s="2" t="s">
        <v>3205</v>
      </c>
      <c r="C28" s="2" t="s">
        <v>1949</v>
      </c>
      <c r="D28" s="2" t="s">
        <v>1853</v>
      </c>
      <c r="E28" s="2" t="s">
        <v>536</v>
      </c>
      <c r="F28" s="2" t="s">
        <v>1856</v>
      </c>
      <c r="G28" s="3">
        <v>44139</v>
      </c>
      <c r="H28" s="2">
        <v>440</v>
      </c>
    </row>
    <row r="29" spans="1:8" x14ac:dyDescent="0.4">
      <c r="A29" s="2">
        <v>28</v>
      </c>
      <c r="B29" s="2" t="s">
        <v>3212</v>
      </c>
      <c r="C29" s="2" t="s">
        <v>1972</v>
      </c>
      <c r="D29" s="2" t="s">
        <v>1973</v>
      </c>
      <c r="E29" s="2" t="s">
        <v>536</v>
      </c>
      <c r="F29" s="2" t="s">
        <v>1856</v>
      </c>
      <c r="G29" s="3">
        <v>44867</v>
      </c>
      <c r="H29" s="2">
        <v>480</v>
      </c>
    </row>
    <row r="30" spans="1:8" x14ac:dyDescent="0.4">
      <c r="A30" s="2">
        <v>29</v>
      </c>
      <c r="B30" s="2" t="s">
        <v>3217</v>
      </c>
      <c r="C30" s="2" t="s">
        <v>1983</v>
      </c>
      <c r="D30" s="2" t="s">
        <v>1984</v>
      </c>
      <c r="E30" s="2" t="s">
        <v>1069</v>
      </c>
      <c r="F30" s="2" t="s">
        <v>1856</v>
      </c>
      <c r="G30" s="3">
        <v>44944</v>
      </c>
      <c r="H30" s="2">
        <v>500</v>
      </c>
    </row>
    <row r="31" spans="1:8" x14ac:dyDescent="0.4">
      <c r="A31" s="2">
        <v>30</v>
      </c>
      <c r="B31" s="2" t="s">
        <v>3210</v>
      </c>
      <c r="C31" s="2" t="s">
        <v>1968</v>
      </c>
      <c r="D31" s="2" t="s">
        <v>1853</v>
      </c>
      <c r="E31" s="2" t="s">
        <v>536</v>
      </c>
      <c r="F31" s="2" t="s">
        <v>1856</v>
      </c>
      <c r="G31" s="3">
        <v>44047</v>
      </c>
      <c r="H31" s="2">
        <v>440</v>
      </c>
    </row>
    <row r="32" spans="1:8" x14ac:dyDescent="0.4">
      <c r="A32" s="2">
        <v>31</v>
      </c>
      <c r="B32" s="2" t="s">
        <v>3213</v>
      </c>
      <c r="C32" s="2" t="s">
        <v>1974</v>
      </c>
      <c r="D32" s="2" t="s">
        <v>1853</v>
      </c>
      <c r="E32" s="2" t="s">
        <v>536</v>
      </c>
      <c r="F32" s="2" t="s">
        <v>1856</v>
      </c>
      <c r="G32" s="3">
        <v>43986</v>
      </c>
      <c r="H32" s="2">
        <v>440</v>
      </c>
    </row>
    <row r="33" spans="1:8" x14ac:dyDescent="0.4">
      <c r="A33" s="2">
        <v>32</v>
      </c>
      <c r="B33" s="2" t="s">
        <v>3218</v>
      </c>
      <c r="C33" s="2" t="s">
        <v>1992</v>
      </c>
      <c r="D33" s="2" t="s">
        <v>1869</v>
      </c>
      <c r="E33" s="2" t="s">
        <v>536</v>
      </c>
      <c r="F33" s="2" t="s">
        <v>1856</v>
      </c>
      <c r="G33" s="3">
        <v>44775</v>
      </c>
      <c r="H33" s="2">
        <v>440</v>
      </c>
    </row>
    <row r="34" spans="1:8" x14ac:dyDescent="0.4">
      <c r="A34" s="2">
        <v>33</v>
      </c>
      <c r="B34" s="2" t="s">
        <v>3214</v>
      </c>
      <c r="C34" s="2" t="s">
        <v>1978</v>
      </c>
      <c r="D34" s="2" t="s">
        <v>1853</v>
      </c>
      <c r="E34" s="2" t="s">
        <v>536</v>
      </c>
      <c r="F34" s="2" t="s">
        <v>1856</v>
      </c>
      <c r="G34" s="3">
        <v>43742</v>
      </c>
      <c r="H34" s="2">
        <v>440</v>
      </c>
    </row>
    <row r="35" spans="1:8" x14ac:dyDescent="0.4">
      <c r="A35" s="2">
        <v>34</v>
      </c>
      <c r="B35" s="2" t="s">
        <v>3216</v>
      </c>
      <c r="C35" s="2" t="s">
        <v>1980</v>
      </c>
      <c r="D35" s="2" t="s">
        <v>1853</v>
      </c>
      <c r="E35" s="2" t="s">
        <v>536</v>
      </c>
      <c r="F35" s="2" t="s">
        <v>1856</v>
      </c>
      <c r="G35" s="3">
        <v>43894</v>
      </c>
      <c r="H35" s="2">
        <v>440</v>
      </c>
    </row>
    <row r="36" spans="1:8" x14ac:dyDescent="0.4">
      <c r="A36" s="2">
        <v>35</v>
      </c>
      <c r="B36" s="2" t="s">
        <v>3226</v>
      </c>
      <c r="C36" s="2" t="s">
        <v>2019</v>
      </c>
      <c r="D36" s="2" t="s">
        <v>2020</v>
      </c>
      <c r="E36" s="2" t="s">
        <v>548</v>
      </c>
      <c r="F36" s="2" t="s">
        <v>1856</v>
      </c>
      <c r="G36" s="3">
        <v>44908</v>
      </c>
      <c r="H36" s="2">
        <v>500</v>
      </c>
    </row>
    <row r="37" spans="1:8" x14ac:dyDescent="0.4">
      <c r="A37" s="2">
        <v>36</v>
      </c>
      <c r="B37" s="2" t="s">
        <v>3206</v>
      </c>
      <c r="C37" s="2" t="s">
        <v>1950</v>
      </c>
      <c r="D37" s="2" t="s">
        <v>1951</v>
      </c>
      <c r="E37" s="2" t="s">
        <v>1952</v>
      </c>
      <c r="F37" s="2" t="s">
        <v>1856</v>
      </c>
      <c r="G37" s="3">
        <v>44915</v>
      </c>
      <c r="H37" s="2">
        <v>660</v>
      </c>
    </row>
    <row r="38" spans="1:8" x14ac:dyDescent="0.4">
      <c r="A38" s="2">
        <v>37</v>
      </c>
      <c r="B38" s="2" t="s">
        <v>3215</v>
      </c>
      <c r="C38" s="2" t="s">
        <v>1979</v>
      </c>
      <c r="D38" s="2" t="s">
        <v>1853</v>
      </c>
      <c r="E38" s="2" t="s">
        <v>536</v>
      </c>
      <c r="F38" s="2" t="s">
        <v>1856</v>
      </c>
      <c r="G38" s="3">
        <v>43834</v>
      </c>
      <c r="H38" s="2">
        <v>440</v>
      </c>
    </row>
    <row r="39" spans="1:8" x14ac:dyDescent="0.4">
      <c r="A39" s="2">
        <v>38</v>
      </c>
      <c r="B39" s="2" t="s">
        <v>3221</v>
      </c>
      <c r="C39" s="2" t="s">
        <v>2004</v>
      </c>
      <c r="D39" s="2" t="s">
        <v>1853</v>
      </c>
      <c r="E39" s="2" t="s">
        <v>536</v>
      </c>
      <c r="F39" s="2" t="s">
        <v>1856</v>
      </c>
      <c r="G39" s="3">
        <v>43679</v>
      </c>
      <c r="H39" s="2">
        <v>440</v>
      </c>
    </row>
    <row r="40" spans="1:8" x14ac:dyDescent="0.4">
      <c r="A40" s="2">
        <v>39</v>
      </c>
      <c r="B40" s="2" t="s">
        <v>3224</v>
      </c>
      <c r="C40" s="2" t="s">
        <v>2010</v>
      </c>
      <c r="D40" s="2" t="s">
        <v>1853</v>
      </c>
      <c r="E40" s="2" t="s">
        <v>536</v>
      </c>
      <c r="F40" s="2" t="s">
        <v>1856</v>
      </c>
      <c r="G40" s="3">
        <v>43587</v>
      </c>
      <c r="H40" s="2">
        <v>440</v>
      </c>
    </row>
    <row r="41" spans="1:8" x14ac:dyDescent="0.4">
      <c r="A41" s="2">
        <v>40</v>
      </c>
      <c r="B41" s="2" t="s">
        <v>3209</v>
      </c>
      <c r="C41" s="2" t="s">
        <v>1964</v>
      </c>
      <c r="D41" s="2" t="s">
        <v>1965</v>
      </c>
      <c r="E41" s="2" t="s">
        <v>1966</v>
      </c>
      <c r="F41" s="2" t="s">
        <v>1856</v>
      </c>
      <c r="G41" s="3">
        <v>44936</v>
      </c>
      <c r="H41" s="2">
        <v>630</v>
      </c>
    </row>
    <row r="42" spans="1:8" x14ac:dyDescent="0.4">
      <c r="A42" s="2">
        <v>41</v>
      </c>
      <c r="B42" s="2" t="s">
        <v>3225</v>
      </c>
      <c r="C42" s="2" t="s">
        <v>2011</v>
      </c>
      <c r="D42" s="2" t="s">
        <v>2012</v>
      </c>
      <c r="E42" s="2" t="s">
        <v>548</v>
      </c>
      <c r="F42" s="2" t="s">
        <v>1856</v>
      </c>
      <c r="G42" s="3">
        <v>44949</v>
      </c>
      <c r="H42" s="2">
        <v>650</v>
      </c>
    </row>
    <row r="43" spans="1:8" x14ac:dyDescent="0.4">
      <c r="A43" s="2">
        <v>42</v>
      </c>
      <c r="B43" s="2" t="s">
        <v>3229</v>
      </c>
      <c r="C43" s="2" t="s">
        <v>2032</v>
      </c>
      <c r="D43" s="2" t="s">
        <v>2033</v>
      </c>
      <c r="E43" s="2" t="s">
        <v>548</v>
      </c>
      <c r="F43" s="2" t="s">
        <v>1856</v>
      </c>
      <c r="G43" s="3">
        <v>44943</v>
      </c>
      <c r="H43" s="2">
        <v>930</v>
      </c>
    </row>
    <row r="44" spans="1:8" x14ac:dyDescent="0.4">
      <c r="A44" s="2">
        <v>43</v>
      </c>
      <c r="B44" s="2" t="s">
        <v>3208</v>
      </c>
      <c r="C44" s="2" t="s">
        <v>1962</v>
      </c>
      <c r="D44" s="2" t="s">
        <v>1963</v>
      </c>
      <c r="E44" s="2" t="s">
        <v>548</v>
      </c>
      <c r="F44" s="2" t="s">
        <v>1856</v>
      </c>
      <c r="G44" s="3">
        <v>44949</v>
      </c>
      <c r="H44" s="2">
        <v>680</v>
      </c>
    </row>
    <row r="45" spans="1:8" x14ac:dyDescent="0.4">
      <c r="A45" s="2">
        <v>44</v>
      </c>
      <c r="B45" s="2" t="s">
        <v>3219</v>
      </c>
      <c r="C45" s="2" t="s">
        <v>1995</v>
      </c>
      <c r="D45" s="2" t="s">
        <v>1996</v>
      </c>
      <c r="E45" s="2" t="s">
        <v>597</v>
      </c>
      <c r="F45" s="2" t="s">
        <v>1856</v>
      </c>
      <c r="G45" s="3">
        <v>44940</v>
      </c>
      <c r="H45" s="2">
        <v>680</v>
      </c>
    </row>
    <row r="46" spans="1:8" x14ac:dyDescent="0.4">
      <c r="A46" s="2">
        <v>45</v>
      </c>
      <c r="B46" s="2" t="s">
        <v>3227</v>
      </c>
      <c r="C46" s="2" t="s">
        <v>2024</v>
      </c>
      <c r="D46" s="2" t="s">
        <v>1853</v>
      </c>
      <c r="E46" s="2" t="s">
        <v>536</v>
      </c>
      <c r="F46" s="2" t="s">
        <v>1856</v>
      </c>
      <c r="G46" s="3">
        <v>43528</v>
      </c>
      <c r="H46" s="2">
        <v>440</v>
      </c>
    </row>
    <row r="47" spans="1:8" x14ac:dyDescent="0.4">
      <c r="A47" s="2">
        <v>46</v>
      </c>
      <c r="B47" s="2" t="s">
        <v>3236</v>
      </c>
      <c r="C47" s="2" t="s">
        <v>2054</v>
      </c>
      <c r="D47" s="2" t="s">
        <v>1861</v>
      </c>
      <c r="E47" s="2" t="s">
        <v>548</v>
      </c>
      <c r="F47" s="2" t="s">
        <v>1856</v>
      </c>
      <c r="G47" s="3">
        <v>44880</v>
      </c>
      <c r="H47" s="2">
        <v>480</v>
      </c>
    </row>
    <row r="48" spans="1:8" x14ac:dyDescent="0.4">
      <c r="A48" s="2">
        <v>47</v>
      </c>
      <c r="B48" s="2" t="s">
        <v>3222</v>
      </c>
      <c r="C48" s="2" t="s">
        <v>2005</v>
      </c>
      <c r="D48" s="2" t="s">
        <v>2006</v>
      </c>
      <c r="E48" s="2" t="s">
        <v>536</v>
      </c>
      <c r="F48" s="2" t="s">
        <v>1856</v>
      </c>
      <c r="G48" s="3">
        <v>44837</v>
      </c>
      <c r="H48" s="2">
        <v>480</v>
      </c>
    </row>
    <row r="49" spans="1:8" x14ac:dyDescent="0.4">
      <c r="A49" s="2">
        <v>48</v>
      </c>
      <c r="B49" s="2" t="s">
        <v>3223</v>
      </c>
      <c r="C49" s="2" t="s">
        <v>2007</v>
      </c>
      <c r="D49" s="2" t="s">
        <v>2008</v>
      </c>
      <c r="E49" s="2" t="s">
        <v>548</v>
      </c>
      <c r="F49" s="2" t="s">
        <v>1856</v>
      </c>
      <c r="G49" s="3">
        <v>44949</v>
      </c>
      <c r="H49" s="2">
        <v>1100</v>
      </c>
    </row>
    <row r="50" spans="1:8" x14ac:dyDescent="0.4">
      <c r="A50" s="2">
        <v>49</v>
      </c>
      <c r="B50" s="2" t="s">
        <v>3228</v>
      </c>
      <c r="C50" s="2" t="s">
        <v>2025</v>
      </c>
      <c r="D50" s="2" t="s">
        <v>2026</v>
      </c>
      <c r="E50" s="2" t="s">
        <v>536</v>
      </c>
      <c r="F50" s="2" t="s">
        <v>1856</v>
      </c>
      <c r="G50" s="3">
        <v>44930</v>
      </c>
      <c r="H50" s="2">
        <v>520</v>
      </c>
    </row>
    <row r="51" spans="1:8" x14ac:dyDescent="0.4">
      <c r="A51" s="2">
        <v>50</v>
      </c>
      <c r="B51" s="2" t="s">
        <v>3234</v>
      </c>
      <c r="C51" s="2" t="s">
        <v>2051</v>
      </c>
      <c r="D51" s="2" t="s">
        <v>2052</v>
      </c>
      <c r="E51" s="2" t="s">
        <v>548</v>
      </c>
      <c r="F51" s="2" t="s">
        <v>1856</v>
      </c>
      <c r="G51" s="3">
        <v>44911</v>
      </c>
      <c r="H51" s="2">
        <v>480</v>
      </c>
    </row>
    <row r="52" spans="1:8" x14ac:dyDescent="0.4">
      <c r="A52" s="2">
        <v>51</v>
      </c>
      <c r="B52" s="2" t="s">
        <v>3239</v>
      </c>
      <c r="C52" s="2" t="s">
        <v>2059</v>
      </c>
      <c r="D52" s="2" t="s">
        <v>2060</v>
      </c>
      <c r="E52" s="2" t="s">
        <v>548</v>
      </c>
      <c r="F52" s="2" t="s">
        <v>1856</v>
      </c>
      <c r="G52" s="3">
        <v>44887</v>
      </c>
      <c r="H52" s="2">
        <v>680</v>
      </c>
    </row>
    <row r="53" spans="1:8" x14ac:dyDescent="0.4">
      <c r="A53" s="2">
        <v>52</v>
      </c>
      <c r="B53" s="2" t="s">
        <v>3235</v>
      </c>
      <c r="C53" s="2" t="s">
        <v>2053</v>
      </c>
      <c r="D53" s="2" t="s">
        <v>1867</v>
      </c>
      <c r="E53" s="2" t="s">
        <v>536</v>
      </c>
      <c r="F53" s="2" t="s">
        <v>1856</v>
      </c>
      <c r="G53" s="3">
        <v>44853</v>
      </c>
      <c r="H53" s="2">
        <v>600</v>
      </c>
    </row>
    <row r="54" spans="1:8" x14ac:dyDescent="0.4">
      <c r="A54" s="2">
        <v>53</v>
      </c>
      <c r="B54" s="2" t="s">
        <v>3231</v>
      </c>
      <c r="C54" s="2" t="s">
        <v>2043</v>
      </c>
      <c r="D54" s="2" t="s">
        <v>2044</v>
      </c>
      <c r="E54" s="2" t="s">
        <v>536</v>
      </c>
      <c r="F54" s="2" t="s">
        <v>1856</v>
      </c>
      <c r="G54" s="3">
        <v>44914</v>
      </c>
      <c r="H54" s="2">
        <v>480</v>
      </c>
    </row>
    <row r="55" spans="1:8" x14ac:dyDescent="0.4">
      <c r="A55" s="2">
        <v>54</v>
      </c>
      <c r="B55" s="2" t="s">
        <v>3238</v>
      </c>
      <c r="C55" s="2" t="s">
        <v>2058</v>
      </c>
      <c r="D55" s="2" t="s">
        <v>1902</v>
      </c>
      <c r="E55" s="2" t="s">
        <v>548</v>
      </c>
      <c r="F55" s="2" t="s">
        <v>1856</v>
      </c>
      <c r="G55" s="3">
        <v>44757</v>
      </c>
      <c r="H55" s="2">
        <v>480</v>
      </c>
    </row>
    <row r="56" spans="1:8" x14ac:dyDescent="0.4">
      <c r="A56" s="2">
        <v>55</v>
      </c>
      <c r="B56" s="2" t="s">
        <v>3220</v>
      </c>
      <c r="C56" s="2" t="s">
        <v>2002</v>
      </c>
      <c r="D56" s="2" t="s">
        <v>2003</v>
      </c>
      <c r="E56" s="2" t="s">
        <v>597</v>
      </c>
      <c r="F56" s="2" t="s">
        <v>1856</v>
      </c>
      <c r="G56" s="3">
        <v>44918</v>
      </c>
      <c r="H56" s="2">
        <v>640</v>
      </c>
    </row>
    <row r="57" spans="1:8" x14ac:dyDescent="0.4">
      <c r="A57" s="2">
        <v>56</v>
      </c>
      <c r="B57" s="2" t="s">
        <v>3230</v>
      </c>
      <c r="C57" s="2" t="s">
        <v>2041</v>
      </c>
      <c r="D57" s="2" t="s">
        <v>2042</v>
      </c>
      <c r="E57" s="2" t="s">
        <v>536</v>
      </c>
      <c r="F57" s="2" t="s">
        <v>1856</v>
      </c>
      <c r="G57" s="3">
        <v>44867</v>
      </c>
      <c r="H57" s="2">
        <v>480</v>
      </c>
    </row>
    <row r="58" spans="1:8" x14ac:dyDescent="0.4">
      <c r="A58" s="2">
        <v>57</v>
      </c>
      <c r="B58" s="2" t="s">
        <v>3232</v>
      </c>
      <c r="C58" s="2" t="s">
        <v>2045</v>
      </c>
      <c r="D58" s="2" t="s">
        <v>2046</v>
      </c>
      <c r="E58" s="2" t="s">
        <v>2047</v>
      </c>
      <c r="F58" s="2" t="s">
        <v>1856</v>
      </c>
      <c r="G58" s="3">
        <v>44951</v>
      </c>
      <c r="H58" s="2">
        <v>664</v>
      </c>
    </row>
    <row r="59" spans="1:8" x14ac:dyDescent="0.4">
      <c r="A59" s="2">
        <v>58</v>
      </c>
      <c r="B59" s="2" t="s">
        <v>3240</v>
      </c>
      <c r="C59" s="2" t="s">
        <v>2082</v>
      </c>
      <c r="D59" s="2" t="s">
        <v>2083</v>
      </c>
      <c r="E59" s="2" t="s">
        <v>1069</v>
      </c>
      <c r="F59" s="2" t="s">
        <v>1856</v>
      </c>
      <c r="G59" s="3">
        <v>44944</v>
      </c>
      <c r="H59" s="2">
        <v>500</v>
      </c>
    </row>
    <row r="60" spans="1:8" x14ac:dyDescent="0.4">
      <c r="A60" s="2">
        <v>59</v>
      </c>
      <c r="B60" s="2" t="s">
        <v>3246</v>
      </c>
      <c r="C60" s="2" t="s">
        <v>2131</v>
      </c>
      <c r="D60" s="2" t="s">
        <v>2132</v>
      </c>
      <c r="E60" s="2" t="s">
        <v>548</v>
      </c>
      <c r="F60" s="2" t="s">
        <v>1856</v>
      </c>
      <c r="G60" s="3">
        <v>44949</v>
      </c>
      <c r="H60" s="2">
        <v>680</v>
      </c>
    </row>
    <row r="61" spans="1:8" x14ac:dyDescent="0.4">
      <c r="A61" s="2">
        <v>60</v>
      </c>
      <c r="B61" s="2" t="s">
        <v>3249</v>
      </c>
      <c r="C61" s="2" t="s">
        <v>2148</v>
      </c>
      <c r="D61" s="2" t="s">
        <v>1902</v>
      </c>
      <c r="E61" s="2" t="s">
        <v>548</v>
      </c>
      <c r="F61" s="2" t="s">
        <v>1856</v>
      </c>
      <c r="G61" s="3">
        <v>44425</v>
      </c>
      <c r="H61" s="2">
        <v>480</v>
      </c>
    </row>
    <row r="62" spans="1:8" x14ac:dyDescent="0.4">
      <c r="A62" s="2">
        <v>61</v>
      </c>
      <c r="B62" s="2" t="s">
        <v>3250</v>
      </c>
      <c r="C62" s="2" t="s">
        <v>2153</v>
      </c>
      <c r="D62" s="2" t="s">
        <v>2154</v>
      </c>
      <c r="E62" s="2" t="s">
        <v>1069</v>
      </c>
      <c r="F62" s="2" t="s">
        <v>1856</v>
      </c>
      <c r="G62" s="3">
        <v>44938</v>
      </c>
      <c r="H62" s="2">
        <v>650</v>
      </c>
    </row>
    <row r="63" spans="1:8" x14ac:dyDescent="0.4">
      <c r="A63" s="2">
        <v>62</v>
      </c>
      <c r="B63" s="2" t="s">
        <v>3233</v>
      </c>
      <c r="C63" s="2" t="s">
        <v>2050</v>
      </c>
      <c r="D63" s="2" t="s">
        <v>1853</v>
      </c>
      <c r="E63" s="2" t="s">
        <v>536</v>
      </c>
      <c r="F63" s="2" t="s">
        <v>1856</v>
      </c>
      <c r="G63" s="3">
        <v>44746</v>
      </c>
      <c r="H63" s="2">
        <v>440</v>
      </c>
    </row>
    <row r="64" spans="1:8" x14ac:dyDescent="0.4">
      <c r="A64" s="2">
        <v>63</v>
      </c>
      <c r="B64" s="2" t="s">
        <v>3237</v>
      </c>
      <c r="C64" s="2" t="s">
        <v>2055</v>
      </c>
      <c r="D64" s="2" t="s">
        <v>2056</v>
      </c>
      <c r="E64" s="2" t="s">
        <v>1387</v>
      </c>
      <c r="F64" s="2" t="s">
        <v>1856</v>
      </c>
      <c r="G64" s="3">
        <v>44903</v>
      </c>
      <c r="H64" s="2">
        <v>740</v>
      </c>
    </row>
    <row r="65" spans="1:8" x14ac:dyDescent="0.4">
      <c r="A65" s="2">
        <v>64</v>
      </c>
      <c r="B65" s="2" t="s">
        <v>3242</v>
      </c>
      <c r="C65" s="2" t="s">
        <v>2089</v>
      </c>
      <c r="D65" s="2" t="s">
        <v>2003</v>
      </c>
      <c r="E65" s="2" t="s">
        <v>1069</v>
      </c>
      <c r="F65" s="2" t="s">
        <v>1856</v>
      </c>
      <c r="G65" s="3">
        <v>44921</v>
      </c>
      <c r="H65" s="2">
        <v>650</v>
      </c>
    </row>
    <row r="66" spans="1:8" x14ac:dyDescent="0.4">
      <c r="A66" s="2">
        <v>65</v>
      </c>
      <c r="B66" s="2" t="s">
        <v>3243</v>
      </c>
      <c r="C66" s="2" t="s">
        <v>2097</v>
      </c>
      <c r="D66" s="2" t="s">
        <v>2098</v>
      </c>
      <c r="E66" s="2" t="s">
        <v>548</v>
      </c>
      <c r="F66" s="2" t="s">
        <v>1856</v>
      </c>
      <c r="G66" s="3">
        <v>44943</v>
      </c>
      <c r="H66" s="2">
        <v>650</v>
      </c>
    </row>
    <row r="67" spans="1:8" x14ac:dyDescent="0.4">
      <c r="A67" s="2">
        <v>66</v>
      </c>
      <c r="B67" s="2" t="s">
        <v>3244</v>
      </c>
      <c r="C67" s="2" t="s">
        <v>2104</v>
      </c>
      <c r="D67" s="2" t="s">
        <v>2105</v>
      </c>
      <c r="E67" s="2" t="s">
        <v>1069</v>
      </c>
      <c r="F67" s="2" t="s">
        <v>1856</v>
      </c>
      <c r="G67" s="3">
        <v>44911</v>
      </c>
      <c r="H67" s="2">
        <v>500</v>
      </c>
    </row>
    <row r="68" spans="1:8" x14ac:dyDescent="0.4">
      <c r="A68" s="2">
        <v>67</v>
      </c>
      <c r="B68" s="2" t="s">
        <v>3248</v>
      </c>
      <c r="C68" s="2" t="s">
        <v>2146</v>
      </c>
      <c r="D68" s="2" t="s">
        <v>1902</v>
      </c>
      <c r="E68" s="2" t="s">
        <v>548</v>
      </c>
      <c r="F68" s="2" t="s">
        <v>1856</v>
      </c>
      <c r="G68" s="3">
        <v>44333</v>
      </c>
      <c r="H68" s="2">
        <v>480</v>
      </c>
    </row>
    <row r="69" spans="1:8" x14ac:dyDescent="0.4">
      <c r="A69" s="2">
        <v>68</v>
      </c>
      <c r="B69" s="2" t="s">
        <v>3253</v>
      </c>
      <c r="C69" s="2" t="s">
        <v>2158</v>
      </c>
      <c r="D69" s="2" t="s">
        <v>1902</v>
      </c>
      <c r="E69" s="2" t="s">
        <v>548</v>
      </c>
      <c r="F69" s="2" t="s">
        <v>1856</v>
      </c>
      <c r="G69" s="3">
        <v>43907</v>
      </c>
      <c r="H69" s="2">
        <v>480</v>
      </c>
    </row>
    <row r="70" spans="1:8" x14ac:dyDescent="0.4">
      <c r="A70" s="2">
        <v>69</v>
      </c>
      <c r="B70" s="2" t="s">
        <v>3251</v>
      </c>
      <c r="C70" s="2" t="s">
        <v>2156</v>
      </c>
      <c r="D70" s="2" t="s">
        <v>1902</v>
      </c>
      <c r="E70" s="2" t="s">
        <v>548</v>
      </c>
      <c r="F70" s="2" t="s">
        <v>1856</v>
      </c>
      <c r="G70" s="3">
        <v>44272</v>
      </c>
      <c r="H70" s="2">
        <v>480</v>
      </c>
    </row>
    <row r="71" spans="1:8" x14ac:dyDescent="0.4">
      <c r="A71" s="2">
        <v>70</v>
      </c>
      <c r="B71" s="2" t="s">
        <v>3256</v>
      </c>
      <c r="C71" s="2" t="s">
        <v>2176</v>
      </c>
      <c r="D71" s="2" t="s">
        <v>1902</v>
      </c>
      <c r="E71" s="2" t="s">
        <v>548</v>
      </c>
      <c r="F71" s="2" t="s">
        <v>1856</v>
      </c>
      <c r="G71" s="3">
        <v>44484</v>
      </c>
      <c r="H71" s="2">
        <v>480</v>
      </c>
    </row>
    <row r="72" spans="1:8" x14ac:dyDescent="0.4">
      <c r="A72" s="2">
        <v>71</v>
      </c>
      <c r="B72" s="2" t="s">
        <v>3260</v>
      </c>
      <c r="C72" s="2" t="s">
        <v>2182</v>
      </c>
      <c r="D72" s="2" t="s">
        <v>1902</v>
      </c>
      <c r="E72" s="2" t="s">
        <v>548</v>
      </c>
      <c r="F72" s="2" t="s">
        <v>1856</v>
      </c>
      <c r="G72" s="3">
        <v>44060</v>
      </c>
      <c r="H72" s="2">
        <v>480</v>
      </c>
    </row>
    <row r="73" spans="1:8" x14ac:dyDescent="0.4">
      <c r="A73" s="2">
        <v>72</v>
      </c>
      <c r="B73" s="2" t="s">
        <v>3261</v>
      </c>
      <c r="C73" s="2" t="s">
        <v>2185</v>
      </c>
      <c r="D73" s="2" t="s">
        <v>2186</v>
      </c>
      <c r="E73" s="2" t="s">
        <v>1069</v>
      </c>
      <c r="F73" s="2" t="s">
        <v>1856</v>
      </c>
      <c r="G73" s="3">
        <v>44938</v>
      </c>
      <c r="H73" s="2">
        <v>690</v>
      </c>
    </row>
    <row r="74" spans="1:8" x14ac:dyDescent="0.4">
      <c r="A74" s="2">
        <v>73</v>
      </c>
      <c r="B74" s="2" t="s">
        <v>3266</v>
      </c>
      <c r="C74" s="2" t="s">
        <v>2200</v>
      </c>
      <c r="D74" s="2" t="s">
        <v>2201</v>
      </c>
      <c r="E74" s="2" t="s">
        <v>536</v>
      </c>
      <c r="F74" s="2" t="s">
        <v>1856</v>
      </c>
      <c r="G74" s="3">
        <v>44867</v>
      </c>
      <c r="H74" s="2">
        <v>520</v>
      </c>
    </row>
    <row r="75" spans="1:8" x14ac:dyDescent="0.4">
      <c r="A75" s="2">
        <v>74</v>
      </c>
      <c r="B75" s="2" t="s">
        <v>3241</v>
      </c>
      <c r="C75" s="2" t="s">
        <v>2088</v>
      </c>
      <c r="D75" s="2" t="s">
        <v>2006</v>
      </c>
      <c r="E75" s="2" t="s">
        <v>536</v>
      </c>
      <c r="F75" s="2" t="s">
        <v>1856</v>
      </c>
      <c r="G75" s="3">
        <v>44655</v>
      </c>
      <c r="H75" s="2">
        <v>480</v>
      </c>
    </row>
    <row r="76" spans="1:8" x14ac:dyDescent="0.4">
      <c r="A76" s="2">
        <v>75</v>
      </c>
      <c r="B76" s="2" t="s">
        <v>3245</v>
      </c>
      <c r="C76" s="2" t="s">
        <v>2122</v>
      </c>
      <c r="D76" s="2" t="s">
        <v>2123</v>
      </c>
      <c r="E76" s="2" t="s">
        <v>1897</v>
      </c>
      <c r="F76" s="2" t="s">
        <v>1856</v>
      </c>
      <c r="G76" s="3">
        <v>44930</v>
      </c>
      <c r="H76" s="2">
        <v>600</v>
      </c>
    </row>
    <row r="77" spans="1:8" x14ac:dyDescent="0.4">
      <c r="A77" s="2">
        <v>76</v>
      </c>
      <c r="B77" s="2" t="s">
        <v>3247</v>
      </c>
      <c r="C77" s="2" t="s">
        <v>2133</v>
      </c>
      <c r="D77" s="2" t="s">
        <v>2134</v>
      </c>
      <c r="E77" s="2" t="s">
        <v>536</v>
      </c>
      <c r="F77" s="2" t="s">
        <v>1856</v>
      </c>
      <c r="G77" s="3">
        <v>44930</v>
      </c>
      <c r="H77" s="2">
        <v>480</v>
      </c>
    </row>
    <row r="78" spans="1:8" x14ac:dyDescent="0.4">
      <c r="A78" s="2">
        <v>77</v>
      </c>
      <c r="B78" s="2" t="s">
        <v>3252</v>
      </c>
      <c r="C78" s="2" t="s">
        <v>2157</v>
      </c>
      <c r="D78" s="2" t="s">
        <v>1902</v>
      </c>
      <c r="E78" s="2" t="s">
        <v>548</v>
      </c>
      <c r="F78" s="2" t="s">
        <v>1856</v>
      </c>
      <c r="G78" s="3">
        <v>44851</v>
      </c>
      <c r="H78" s="2">
        <v>480</v>
      </c>
    </row>
    <row r="79" spans="1:8" x14ac:dyDescent="0.4">
      <c r="A79" s="2">
        <v>78</v>
      </c>
      <c r="B79" s="2" t="s">
        <v>3255</v>
      </c>
      <c r="C79" s="2" t="s">
        <v>2169</v>
      </c>
      <c r="D79" s="2" t="s">
        <v>1869</v>
      </c>
      <c r="E79" s="2" t="s">
        <v>536</v>
      </c>
      <c r="F79" s="2" t="s">
        <v>1856</v>
      </c>
      <c r="G79" s="3">
        <v>44655</v>
      </c>
      <c r="H79" s="2">
        <v>440</v>
      </c>
    </row>
    <row r="80" spans="1:8" x14ac:dyDescent="0.4">
      <c r="A80" s="2">
        <v>79</v>
      </c>
      <c r="B80" s="2" t="s">
        <v>3257</v>
      </c>
      <c r="C80" s="2" t="s">
        <v>2178</v>
      </c>
      <c r="D80" s="2" t="s">
        <v>1902</v>
      </c>
      <c r="E80" s="2" t="s">
        <v>548</v>
      </c>
      <c r="F80" s="2" t="s">
        <v>1856</v>
      </c>
      <c r="G80" s="3">
        <v>44698</v>
      </c>
      <c r="H80" s="2">
        <v>480</v>
      </c>
    </row>
    <row r="81" spans="1:8" x14ac:dyDescent="0.4">
      <c r="A81" s="2">
        <v>80</v>
      </c>
      <c r="B81" s="2" t="s">
        <v>3262</v>
      </c>
      <c r="C81" s="2" t="s">
        <v>2188</v>
      </c>
      <c r="D81" s="2" t="s">
        <v>1853</v>
      </c>
      <c r="E81" s="2" t="s">
        <v>536</v>
      </c>
      <c r="F81" s="2" t="s">
        <v>1856</v>
      </c>
      <c r="G81" s="3">
        <v>44442</v>
      </c>
      <c r="H81" s="2">
        <v>440</v>
      </c>
    </row>
    <row r="82" spans="1:8" x14ac:dyDescent="0.4">
      <c r="A82" s="2">
        <v>81</v>
      </c>
      <c r="B82" s="2" t="s">
        <v>3263</v>
      </c>
      <c r="C82" s="2" t="s">
        <v>2189</v>
      </c>
      <c r="D82" s="2" t="s">
        <v>1902</v>
      </c>
      <c r="E82" s="2" t="s">
        <v>548</v>
      </c>
      <c r="F82" s="2" t="s">
        <v>1856</v>
      </c>
      <c r="G82" s="3">
        <v>44182</v>
      </c>
      <c r="H82" s="2">
        <v>480</v>
      </c>
    </row>
    <row r="83" spans="1:8" x14ac:dyDescent="0.4">
      <c r="A83" s="2">
        <v>82</v>
      </c>
      <c r="B83" s="2" t="s">
        <v>3264</v>
      </c>
      <c r="C83" s="2" t="s">
        <v>2192</v>
      </c>
      <c r="D83" s="2" t="s">
        <v>1902</v>
      </c>
      <c r="E83" s="2" t="s">
        <v>548</v>
      </c>
      <c r="F83" s="2" t="s">
        <v>1856</v>
      </c>
      <c r="G83" s="3">
        <v>43847</v>
      </c>
      <c r="H83" s="2">
        <v>480</v>
      </c>
    </row>
    <row r="84" spans="1:8" x14ac:dyDescent="0.4">
      <c r="A84" s="2">
        <v>83</v>
      </c>
      <c r="B84" s="2" t="s">
        <v>3269</v>
      </c>
      <c r="C84" s="2" t="s">
        <v>2217</v>
      </c>
      <c r="D84" s="2" t="s">
        <v>2218</v>
      </c>
      <c r="E84" s="2" t="s">
        <v>536</v>
      </c>
      <c r="F84" s="2" t="s">
        <v>1856</v>
      </c>
      <c r="G84" s="3">
        <v>44930</v>
      </c>
      <c r="H84" s="2">
        <v>480</v>
      </c>
    </row>
    <row r="85" spans="1:8" x14ac:dyDescent="0.4">
      <c r="A85" s="2">
        <v>84</v>
      </c>
      <c r="B85" s="2" t="s">
        <v>3272</v>
      </c>
      <c r="C85" s="2" t="s">
        <v>2227</v>
      </c>
      <c r="D85" s="2" t="s">
        <v>2228</v>
      </c>
      <c r="E85" s="2" t="s">
        <v>536</v>
      </c>
      <c r="F85" s="2" t="s">
        <v>1856</v>
      </c>
      <c r="G85" s="3">
        <v>44897</v>
      </c>
      <c r="H85" s="2">
        <v>480</v>
      </c>
    </row>
    <row r="86" spans="1:8" x14ac:dyDescent="0.4">
      <c r="A86" s="2">
        <v>85</v>
      </c>
      <c r="B86" s="2" t="s">
        <v>3276</v>
      </c>
      <c r="C86" s="2" t="s">
        <v>2248</v>
      </c>
      <c r="D86" s="2" t="s">
        <v>2249</v>
      </c>
      <c r="E86" s="2" t="s">
        <v>548</v>
      </c>
      <c r="F86" s="2" t="s">
        <v>1856</v>
      </c>
      <c r="G86" s="3">
        <v>44949</v>
      </c>
      <c r="H86" s="2">
        <v>660</v>
      </c>
    </row>
    <row r="87" spans="1:8" x14ac:dyDescent="0.4">
      <c r="A87" s="2">
        <v>86</v>
      </c>
      <c r="B87" s="2" t="s">
        <v>3258</v>
      </c>
      <c r="C87" s="2" t="s">
        <v>2180</v>
      </c>
      <c r="D87" s="2" t="s">
        <v>1902</v>
      </c>
      <c r="E87" s="2" t="s">
        <v>548</v>
      </c>
      <c r="F87" s="2" t="s">
        <v>1856</v>
      </c>
      <c r="G87" s="3">
        <v>43420</v>
      </c>
      <c r="H87" s="2">
        <v>480</v>
      </c>
    </row>
    <row r="88" spans="1:8" x14ac:dyDescent="0.4">
      <c r="A88" s="2">
        <v>87</v>
      </c>
      <c r="B88" s="2" t="s">
        <v>3259</v>
      </c>
      <c r="C88" s="2" t="s">
        <v>2181</v>
      </c>
      <c r="D88" s="2" t="s">
        <v>1902</v>
      </c>
      <c r="E88" s="2" t="s">
        <v>548</v>
      </c>
      <c r="F88" s="2" t="s">
        <v>1856</v>
      </c>
      <c r="G88" s="3">
        <v>43633</v>
      </c>
      <c r="H88" s="2">
        <v>480</v>
      </c>
    </row>
    <row r="89" spans="1:8" x14ac:dyDescent="0.4">
      <c r="A89" s="2">
        <v>88</v>
      </c>
      <c r="B89" s="2" t="s">
        <v>3265</v>
      </c>
      <c r="C89" s="2" t="s">
        <v>2007</v>
      </c>
      <c r="D89" s="2" t="s">
        <v>2008</v>
      </c>
      <c r="E89" s="2" t="s">
        <v>548</v>
      </c>
      <c r="F89" s="2" t="s">
        <v>1856</v>
      </c>
      <c r="G89" s="3">
        <v>44949</v>
      </c>
      <c r="H89" s="2">
        <v>2300</v>
      </c>
    </row>
    <row r="90" spans="1:8" x14ac:dyDescent="0.4">
      <c r="A90" s="2">
        <v>89</v>
      </c>
      <c r="B90" s="2" t="s">
        <v>3270</v>
      </c>
      <c r="C90" s="2" t="s">
        <v>2221</v>
      </c>
      <c r="D90" s="2" t="s">
        <v>2222</v>
      </c>
      <c r="E90" s="2" t="s">
        <v>536</v>
      </c>
      <c r="F90" s="2" t="s">
        <v>1856</v>
      </c>
      <c r="G90" s="3">
        <v>44930</v>
      </c>
      <c r="H90" s="2">
        <v>480</v>
      </c>
    </row>
    <row r="91" spans="1:8" x14ac:dyDescent="0.4">
      <c r="A91" s="2">
        <v>90</v>
      </c>
      <c r="B91" s="2" t="s">
        <v>3271</v>
      </c>
      <c r="C91" s="2" t="s">
        <v>2223</v>
      </c>
      <c r="D91" s="2" t="s">
        <v>1902</v>
      </c>
      <c r="E91" s="2" t="s">
        <v>548</v>
      </c>
      <c r="F91" s="2" t="s">
        <v>1856</v>
      </c>
      <c r="G91" s="3">
        <v>44120</v>
      </c>
      <c r="H91" s="2">
        <v>480</v>
      </c>
    </row>
    <row r="92" spans="1:8" x14ac:dyDescent="0.4">
      <c r="A92" s="2">
        <v>91</v>
      </c>
      <c r="B92" s="2" t="s">
        <v>3273</v>
      </c>
      <c r="C92" s="2" t="s">
        <v>2229</v>
      </c>
      <c r="D92" s="2" t="s">
        <v>1902</v>
      </c>
      <c r="E92" s="2" t="s">
        <v>548</v>
      </c>
      <c r="F92" s="2" t="s">
        <v>1856</v>
      </c>
      <c r="G92" s="3">
        <v>44547</v>
      </c>
      <c r="H92" s="2">
        <v>480</v>
      </c>
    </row>
    <row r="93" spans="1:8" x14ac:dyDescent="0.4">
      <c r="A93" s="2">
        <v>92</v>
      </c>
      <c r="B93" s="2" t="s">
        <v>3277</v>
      </c>
      <c r="C93" s="2" t="s">
        <v>2255</v>
      </c>
      <c r="D93" s="2" t="s">
        <v>2256</v>
      </c>
      <c r="E93" s="2" t="s">
        <v>536</v>
      </c>
      <c r="F93" s="2" t="s">
        <v>1856</v>
      </c>
      <c r="G93" s="3">
        <v>44838</v>
      </c>
      <c r="H93" s="2">
        <v>440</v>
      </c>
    </row>
    <row r="94" spans="1:8" x14ac:dyDescent="0.4">
      <c r="A94" s="2">
        <v>93</v>
      </c>
      <c r="B94" s="2" t="s">
        <v>3279</v>
      </c>
      <c r="C94" s="2" t="s">
        <v>2276</v>
      </c>
      <c r="D94" s="2" t="s">
        <v>2277</v>
      </c>
      <c r="E94" s="2" t="s">
        <v>1069</v>
      </c>
      <c r="F94" s="2" t="s">
        <v>1856</v>
      </c>
      <c r="G94" s="3">
        <v>44944</v>
      </c>
      <c r="H94" s="2">
        <v>500</v>
      </c>
    </row>
    <row r="95" spans="1:8" x14ac:dyDescent="0.4">
      <c r="A95" s="2">
        <v>94</v>
      </c>
      <c r="B95" s="2" t="s">
        <v>3280</v>
      </c>
      <c r="C95" s="2" t="s">
        <v>2285</v>
      </c>
      <c r="D95" s="2" t="s">
        <v>1902</v>
      </c>
      <c r="E95" s="2" t="s">
        <v>548</v>
      </c>
      <c r="F95" s="2" t="s">
        <v>1856</v>
      </c>
      <c r="G95" s="3">
        <v>43966</v>
      </c>
      <c r="H95" s="2">
        <v>480</v>
      </c>
    </row>
    <row r="96" spans="1:8" x14ac:dyDescent="0.4">
      <c r="A96" s="2">
        <v>95</v>
      </c>
      <c r="B96" s="2" t="s">
        <v>3254</v>
      </c>
      <c r="C96" s="2" t="s">
        <v>2164</v>
      </c>
      <c r="D96" s="2" t="s">
        <v>2006</v>
      </c>
      <c r="E96" s="2" t="s">
        <v>536</v>
      </c>
      <c r="F96" s="2" t="s">
        <v>1856</v>
      </c>
      <c r="G96" s="3">
        <v>44076</v>
      </c>
      <c r="H96" s="2">
        <v>480</v>
      </c>
    </row>
    <row r="97" spans="1:8" x14ac:dyDescent="0.4">
      <c r="A97" s="2">
        <v>96</v>
      </c>
      <c r="B97" s="2" t="s">
        <v>3267</v>
      </c>
      <c r="C97" s="2" t="s">
        <v>2210</v>
      </c>
      <c r="D97" s="2" t="s">
        <v>1869</v>
      </c>
      <c r="E97" s="2" t="s">
        <v>536</v>
      </c>
      <c r="F97" s="2" t="s">
        <v>1856</v>
      </c>
      <c r="G97" s="3">
        <v>44553</v>
      </c>
      <c r="H97" s="2">
        <v>440</v>
      </c>
    </row>
    <row r="98" spans="1:8" x14ac:dyDescent="0.4">
      <c r="A98" s="2">
        <v>97</v>
      </c>
      <c r="B98" s="2" t="s">
        <v>3268</v>
      </c>
      <c r="C98" s="2" t="s">
        <v>2211</v>
      </c>
      <c r="D98" s="2" t="s">
        <v>1867</v>
      </c>
      <c r="E98" s="2" t="s">
        <v>536</v>
      </c>
      <c r="F98" s="2" t="s">
        <v>1856</v>
      </c>
      <c r="G98" s="3">
        <v>44914</v>
      </c>
      <c r="H98" s="2">
        <v>1000</v>
      </c>
    </row>
    <row r="99" spans="1:8" x14ac:dyDescent="0.4">
      <c r="A99" s="2">
        <v>98</v>
      </c>
      <c r="B99" s="2" t="s">
        <v>3274</v>
      </c>
      <c r="C99" s="2" t="s">
        <v>2238</v>
      </c>
      <c r="D99" s="2" t="s">
        <v>1902</v>
      </c>
      <c r="E99" s="2" t="s">
        <v>548</v>
      </c>
      <c r="F99" s="2" t="s">
        <v>1856</v>
      </c>
      <c r="G99" s="3">
        <v>43539</v>
      </c>
      <c r="H99" s="2">
        <v>480</v>
      </c>
    </row>
    <row r="100" spans="1:8" x14ac:dyDescent="0.4">
      <c r="A100" s="2">
        <v>99</v>
      </c>
      <c r="B100" s="2" t="s">
        <v>3275</v>
      </c>
      <c r="C100" s="2" t="s">
        <v>2247</v>
      </c>
      <c r="D100" s="2" t="s">
        <v>1902</v>
      </c>
      <c r="E100" s="2" t="s">
        <v>548</v>
      </c>
      <c r="F100" s="2" t="s">
        <v>1856</v>
      </c>
      <c r="G100" s="3">
        <v>43482</v>
      </c>
      <c r="H100" s="2">
        <v>480</v>
      </c>
    </row>
    <row r="101" spans="1:8" x14ac:dyDescent="0.4">
      <c r="A101" s="2">
        <v>100</v>
      </c>
      <c r="B101" s="2" t="s">
        <v>3278</v>
      </c>
      <c r="C101" s="2" t="s">
        <v>2265</v>
      </c>
      <c r="D101" s="2" t="s">
        <v>2266</v>
      </c>
      <c r="E101" s="2" t="s">
        <v>536</v>
      </c>
      <c r="F101" s="2" t="s">
        <v>1856</v>
      </c>
      <c r="G101" s="3">
        <v>44914</v>
      </c>
      <c r="H101" s="2">
        <v>650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編集１</vt:lpstr>
      <vt:lpstr>編集２</vt:lpstr>
      <vt:lpstr>文庫ベスト2023年1月</vt:lpstr>
      <vt:lpstr>新書ベスト2023年1月</vt:lpstr>
      <vt:lpstr>コミックベスト2023年1月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重松 理恵</dc:creator>
  <cp:lastModifiedBy>coop201802</cp:lastModifiedBy>
  <cp:lastPrinted>2023-02-01T10:37:09Z</cp:lastPrinted>
  <dcterms:created xsi:type="dcterms:W3CDTF">2023-02-01T01:01:38Z</dcterms:created>
  <dcterms:modified xsi:type="dcterms:W3CDTF">2023-02-03T00:39:40Z</dcterms:modified>
</cp:coreProperties>
</file>